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hrome\Downloads\"/>
    </mc:Choice>
  </mc:AlternateContent>
  <xr:revisionPtr revIDLastSave="0" documentId="13_ncr:1_{5843824D-C88C-4E53-A908-C94E1C3A4290}" xr6:coauthVersionLast="36" xr6:coauthVersionMax="36" xr10:uidLastSave="{00000000-0000-0000-0000-000000000000}"/>
  <workbookProtection workbookPassword="EEC5" lockStructure="1"/>
  <bookViews>
    <workbookView xWindow="240" yWindow="255" windowWidth="16080" windowHeight="9915" firstSheet="1" activeTab="1" xr2:uid="{00000000-000D-0000-FFFF-FFFF00000000}"/>
  </bookViews>
  <sheets>
    <sheet name="DATA" sheetId="1" state="hidden" r:id="rId1"/>
    <sheet name="Summary" sheetId="2" r:id="rId2"/>
  </sheets>
  <definedNames>
    <definedName name="_xlnm._FilterDatabase" localSheetId="0" hidden="1">DATA!$A$2:$BN$3986</definedName>
    <definedName name="_xlnm.Print_Area" localSheetId="1">Summary!$A$21:$S$2081</definedName>
    <definedName name="_xlnm.Print_Titles" localSheetId="1">Summary!$17:$19</definedName>
  </definedNames>
  <calcPr calcId="191029"/>
</workbook>
</file>

<file path=xl/calcChain.xml><?xml version="1.0" encoding="utf-8"?>
<calcChain xmlns="http://schemas.openxmlformats.org/spreadsheetml/2006/main">
  <c r="F13" i="2" l="1"/>
  <c r="E13" i="2"/>
  <c r="C13" i="2"/>
  <c r="B13" i="2"/>
  <c r="F11" i="2" l="1"/>
  <c r="E11" i="2"/>
  <c r="F8" i="2" l="1"/>
  <c r="E8" i="2"/>
  <c r="C8" i="2"/>
  <c r="B8" i="2"/>
  <c r="F7" i="2"/>
  <c r="E7" i="2"/>
  <c r="C7" i="2"/>
  <c r="B7" i="2"/>
  <c r="B46" i="2" l="1"/>
  <c r="C46" i="2"/>
  <c r="B30" i="2"/>
  <c r="C30" i="2"/>
  <c r="D46" i="2" l="1"/>
  <c r="D30" i="2"/>
  <c r="H2048" i="2"/>
  <c r="H2013" i="2"/>
  <c r="H1978" i="2"/>
  <c r="H1943" i="2"/>
  <c r="H1907" i="2"/>
  <c r="H1872" i="2"/>
  <c r="H1837" i="2"/>
  <c r="H1802" i="2"/>
  <c r="H1767" i="2"/>
  <c r="H1731" i="2"/>
  <c r="H1696" i="2"/>
  <c r="H1661" i="2"/>
  <c r="H1626" i="2"/>
  <c r="H1591" i="2"/>
  <c r="H1555" i="2"/>
  <c r="H1520" i="2"/>
  <c r="H1485" i="2"/>
  <c r="H1450" i="2"/>
  <c r="H1415" i="2"/>
  <c r="H1382" i="2"/>
  <c r="H1348" i="2"/>
  <c r="H1312" i="2"/>
  <c r="H1277" i="2"/>
  <c r="H1242" i="2"/>
  <c r="H1207" i="2"/>
  <c r="H1172" i="2"/>
  <c r="H1137" i="2"/>
  <c r="H1101" i="2"/>
  <c r="H1031" i="2"/>
  <c r="H996" i="2"/>
  <c r="H961" i="2"/>
  <c r="H109" i="2"/>
  <c r="H146" i="2" s="1"/>
  <c r="H182" i="2" s="1"/>
  <c r="H218" i="2" s="1"/>
  <c r="H254" i="2" s="1"/>
  <c r="H291" i="2" s="1"/>
  <c r="H327" i="2" s="1"/>
  <c r="H363" i="2" s="1"/>
  <c r="H399" i="2" s="1"/>
  <c r="H437" i="2" s="1"/>
  <c r="H472" i="2" s="1"/>
  <c r="H507" i="2" s="1"/>
  <c r="H542" i="2" s="1"/>
  <c r="H574" i="2" s="1"/>
  <c r="H609" i="2" s="1"/>
  <c r="H644" i="2" s="1"/>
  <c r="H679" i="2" s="1"/>
  <c r="H716" i="2" s="1"/>
  <c r="H751" i="2" s="1"/>
  <c r="H786" i="2" s="1"/>
  <c r="H821" i="2" s="1"/>
  <c r="H856" i="2" s="1"/>
  <c r="H891" i="2" s="1"/>
  <c r="H926" i="2" s="1"/>
  <c r="I52" i="2" l="1"/>
  <c r="I51" i="2"/>
  <c r="I50" i="2"/>
  <c r="I49" i="2"/>
  <c r="I48" i="2"/>
  <c r="I47" i="2"/>
  <c r="I46" i="2"/>
  <c r="I45" i="2"/>
  <c r="I44" i="2"/>
  <c r="I43" i="2"/>
  <c r="I42" i="2"/>
  <c r="I41" i="2"/>
  <c r="H52" i="2"/>
  <c r="H51" i="2"/>
  <c r="H50" i="2"/>
  <c r="H49" i="2"/>
  <c r="H48" i="2"/>
  <c r="H47" i="2"/>
  <c r="H46" i="2"/>
  <c r="H45" i="2"/>
  <c r="H44" i="2"/>
  <c r="H43" i="2"/>
  <c r="H42" i="2"/>
  <c r="H41" i="2"/>
  <c r="F52" i="2"/>
  <c r="F51" i="2"/>
  <c r="F50" i="2"/>
  <c r="F49" i="2"/>
  <c r="F48" i="2"/>
  <c r="F47" i="2"/>
  <c r="F46" i="2"/>
  <c r="F45" i="2"/>
  <c r="F44" i="2"/>
  <c r="F43" i="2"/>
  <c r="F42" i="2"/>
  <c r="F41" i="2"/>
  <c r="E52" i="2"/>
  <c r="E51" i="2"/>
  <c r="E50" i="2"/>
  <c r="E49" i="2"/>
  <c r="E48" i="2"/>
  <c r="E47" i="2"/>
  <c r="E46" i="2"/>
  <c r="E45" i="2"/>
  <c r="E44" i="2"/>
  <c r="E43" i="2"/>
  <c r="E42" i="2"/>
  <c r="E41" i="2"/>
  <c r="I36" i="2"/>
  <c r="I35" i="2"/>
  <c r="I34" i="2"/>
  <c r="I33" i="2"/>
  <c r="I32" i="2"/>
  <c r="I31" i="2"/>
  <c r="I30" i="2"/>
  <c r="I29" i="2"/>
  <c r="I28" i="2"/>
  <c r="I27" i="2"/>
  <c r="I26" i="2"/>
  <c r="I25" i="2"/>
  <c r="H36" i="2"/>
  <c r="H35" i="2"/>
  <c r="H34" i="2"/>
  <c r="H33" i="2"/>
  <c r="H32" i="2"/>
  <c r="H31" i="2"/>
  <c r="H30" i="2"/>
  <c r="H29" i="2"/>
  <c r="H28" i="2"/>
  <c r="H27" i="2"/>
  <c r="H26" i="2"/>
  <c r="H25" i="2"/>
  <c r="F36" i="2"/>
  <c r="F35" i="2"/>
  <c r="F34" i="2"/>
  <c r="F33" i="2"/>
  <c r="F32" i="2"/>
  <c r="F31" i="2"/>
  <c r="F30" i="2"/>
  <c r="F29" i="2"/>
  <c r="F28" i="2"/>
  <c r="F27" i="2"/>
  <c r="F26" i="2"/>
  <c r="F25" i="2"/>
  <c r="E36" i="2"/>
  <c r="E35" i="2"/>
  <c r="E34" i="2"/>
  <c r="E33" i="2"/>
  <c r="E32" i="2"/>
  <c r="E31" i="2"/>
  <c r="E30" i="2"/>
  <c r="E29" i="2"/>
  <c r="E28" i="2"/>
  <c r="E27" i="2"/>
  <c r="E26" i="2"/>
  <c r="E25" i="2"/>
  <c r="F5" i="2" l="1"/>
  <c r="E5" i="2"/>
  <c r="C5" i="2"/>
  <c r="B5" i="2"/>
  <c r="F4" i="2" l="1"/>
  <c r="E4" i="2"/>
  <c r="C4" i="2"/>
  <c r="B4" i="2"/>
  <c r="F3" i="2" l="1"/>
  <c r="E3" i="2"/>
  <c r="C3" i="2"/>
  <c r="B3" i="2"/>
  <c r="F2" i="2" l="1"/>
  <c r="E2" i="2"/>
  <c r="C2" i="2"/>
  <c r="B2" i="2"/>
  <c r="K2048" i="2" l="1"/>
  <c r="K2013" i="2"/>
  <c r="K1978" i="2"/>
  <c r="K1943" i="2"/>
  <c r="K1907" i="2"/>
  <c r="K1872" i="2"/>
  <c r="K1837" i="2"/>
  <c r="K1802" i="2"/>
  <c r="K1767" i="2"/>
  <c r="K1731" i="2"/>
  <c r="K1696" i="2"/>
  <c r="K1661" i="2"/>
  <c r="K1626" i="2"/>
  <c r="K1591" i="2"/>
  <c r="K1555" i="2"/>
  <c r="K1520" i="2"/>
  <c r="K1485" i="2"/>
  <c r="K1450" i="2"/>
  <c r="K1415" i="2"/>
  <c r="K1382" i="2"/>
  <c r="K1348" i="2"/>
  <c r="K1312" i="2"/>
  <c r="K1277" i="2"/>
  <c r="K1242" i="2"/>
  <c r="K1207" i="2"/>
  <c r="K1172" i="2"/>
  <c r="K1137" i="2"/>
  <c r="K1101" i="2"/>
  <c r="K1031" i="2"/>
  <c r="K996" i="2"/>
  <c r="K961" i="2"/>
  <c r="K109" i="2"/>
  <c r="K146" i="2" s="1"/>
  <c r="K182" i="2" l="1"/>
  <c r="K218" i="2" s="1"/>
  <c r="K254" i="2" s="1"/>
  <c r="K291" i="2" s="1"/>
  <c r="K327" i="2" s="1"/>
  <c r="K363" i="2" s="1"/>
  <c r="K399" i="2" s="1"/>
  <c r="K437" i="2" s="1"/>
  <c r="K472" i="2" s="1"/>
  <c r="K507" i="2" s="1"/>
  <c r="K542" i="2" s="1"/>
  <c r="K574" i="2" s="1"/>
  <c r="K609" i="2" s="1"/>
  <c r="K644" i="2" s="1"/>
  <c r="K679" i="2" s="1"/>
  <c r="K716" i="2" s="1"/>
  <c r="B32" i="2"/>
  <c r="K751" i="2" l="1"/>
  <c r="K786" i="2" s="1"/>
  <c r="K821" i="2" s="1"/>
  <c r="K856" i="2" s="1"/>
  <c r="K891" i="2" s="1"/>
  <c r="K926" i="2" s="1"/>
  <c r="C1772" i="2"/>
  <c r="C1771" i="2"/>
  <c r="C1769" i="2"/>
  <c r="D2053" i="2" l="1"/>
  <c r="B2053" i="2"/>
  <c r="D2052" i="2"/>
  <c r="B2052" i="2"/>
  <c r="D2051" i="2"/>
  <c r="B2051" i="2"/>
  <c r="D2050" i="2"/>
  <c r="B2050" i="2"/>
  <c r="D2018" i="2"/>
  <c r="B2018" i="2"/>
  <c r="D2017" i="2"/>
  <c r="B2017" i="2"/>
  <c r="D2016" i="2"/>
  <c r="B2016" i="2"/>
  <c r="D2015" i="2"/>
  <c r="B2015" i="2"/>
  <c r="D1983" i="2"/>
  <c r="B1983" i="2"/>
  <c r="D1982" i="2"/>
  <c r="B1982" i="2"/>
  <c r="D1981" i="2"/>
  <c r="B1981" i="2"/>
  <c r="D1980" i="2"/>
  <c r="B1980" i="2"/>
  <c r="D1948" i="2"/>
  <c r="B1948" i="2"/>
  <c r="D1947" i="2"/>
  <c r="B1947" i="2"/>
  <c r="D1946" i="2"/>
  <c r="B1946" i="2"/>
  <c r="D1945" i="2"/>
  <c r="B1945" i="2"/>
  <c r="D1913" i="2"/>
  <c r="B1913" i="2"/>
  <c r="D1912" i="2"/>
  <c r="B1912" i="2"/>
  <c r="D1911" i="2"/>
  <c r="B1911" i="2"/>
  <c r="D1910" i="2"/>
  <c r="B1910" i="2"/>
  <c r="D1909" i="2"/>
  <c r="B1909" i="2"/>
  <c r="D1877" i="2"/>
  <c r="B1877" i="2"/>
  <c r="D1876" i="2"/>
  <c r="B1876" i="2"/>
  <c r="D1875" i="2"/>
  <c r="B1875" i="2"/>
  <c r="D1874" i="2"/>
  <c r="B1874" i="2"/>
  <c r="D1842" i="2"/>
  <c r="B1842" i="2"/>
  <c r="D1841" i="2"/>
  <c r="B1841" i="2"/>
  <c r="D1840" i="2"/>
  <c r="B1840" i="2"/>
  <c r="D1839" i="2"/>
  <c r="B1839" i="2"/>
  <c r="D1807" i="2"/>
  <c r="B1807" i="2"/>
  <c r="D1806" i="2"/>
  <c r="B1806" i="2"/>
  <c r="D1805" i="2"/>
  <c r="B1805" i="2"/>
  <c r="D1804" i="2"/>
  <c r="B1804" i="2"/>
  <c r="D1772" i="2"/>
  <c r="B1772" i="2"/>
  <c r="D1771" i="2"/>
  <c r="B1771" i="2"/>
  <c r="D1770" i="2"/>
  <c r="B1770" i="2"/>
  <c r="D1769" i="2"/>
  <c r="B1769" i="2"/>
  <c r="D1737" i="2"/>
  <c r="B1737" i="2"/>
  <c r="D1736" i="2"/>
  <c r="B1736" i="2"/>
  <c r="D1735" i="2"/>
  <c r="B1735" i="2"/>
  <c r="D1734" i="2"/>
  <c r="B1734" i="2"/>
  <c r="D1733" i="2"/>
  <c r="B1733" i="2"/>
  <c r="D1701" i="2"/>
  <c r="B1701" i="2"/>
  <c r="D1700" i="2"/>
  <c r="B1700" i="2"/>
  <c r="D1699" i="2"/>
  <c r="B1699" i="2"/>
  <c r="D1698" i="2"/>
  <c r="B1698" i="2"/>
  <c r="D1666" i="2"/>
  <c r="B1666" i="2"/>
  <c r="D1665" i="2"/>
  <c r="B1665" i="2"/>
  <c r="D1664" i="2"/>
  <c r="B1664" i="2"/>
  <c r="D1663" i="2"/>
  <c r="B1663" i="2"/>
  <c r="D1631" i="2"/>
  <c r="B1631" i="2"/>
  <c r="D1630" i="2"/>
  <c r="B1630" i="2"/>
  <c r="D1629" i="2"/>
  <c r="B1629" i="2"/>
  <c r="D1628" i="2"/>
  <c r="B1628" i="2"/>
  <c r="D1596" i="2"/>
  <c r="B1596" i="2"/>
  <c r="D1595" i="2"/>
  <c r="B1595" i="2"/>
  <c r="D1594" i="2"/>
  <c r="B1594" i="2"/>
  <c r="D1593" i="2"/>
  <c r="B1593" i="2"/>
  <c r="D1561" i="2"/>
  <c r="B1561" i="2"/>
  <c r="D1560" i="2"/>
  <c r="B1560" i="2"/>
  <c r="D1559" i="2"/>
  <c r="B1559" i="2"/>
  <c r="D1558" i="2"/>
  <c r="B1558" i="2"/>
  <c r="D1557" i="2"/>
  <c r="B1557" i="2"/>
  <c r="D1525" i="2"/>
  <c r="B1525" i="2"/>
  <c r="D1524" i="2"/>
  <c r="B1524" i="2"/>
  <c r="D1523" i="2"/>
  <c r="B1523" i="2"/>
  <c r="D1522" i="2"/>
  <c r="B1522" i="2"/>
  <c r="D1490" i="2"/>
  <c r="B1490" i="2"/>
  <c r="D1489" i="2"/>
  <c r="B1489" i="2"/>
  <c r="D1488" i="2"/>
  <c r="B1488" i="2"/>
  <c r="D1487" i="2"/>
  <c r="B1487" i="2"/>
  <c r="D1455" i="2"/>
  <c r="B1455" i="2"/>
  <c r="D1454" i="2"/>
  <c r="B1454" i="2"/>
  <c r="D1453" i="2"/>
  <c r="B1453" i="2"/>
  <c r="D1452" i="2"/>
  <c r="B1452" i="2"/>
  <c r="D1420" i="2"/>
  <c r="B1420" i="2"/>
  <c r="D1419" i="2"/>
  <c r="B1419" i="2"/>
  <c r="D1418" i="2"/>
  <c r="B1418" i="2"/>
  <c r="D1417" i="2"/>
  <c r="B1417" i="2"/>
  <c r="D1388" i="2"/>
  <c r="B1388" i="2"/>
  <c r="D1387" i="2"/>
  <c r="B1387" i="2"/>
  <c r="D1386" i="2"/>
  <c r="B1386" i="2"/>
  <c r="D1385" i="2"/>
  <c r="B1385" i="2"/>
  <c r="D1384" i="2"/>
  <c r="B1384" i="2"/>
  <c r="D1354" i="2"/>
  <c r="B1354" i="2"/>
  <c r="D1353" i="2"/>
  <c r="B1353" i="2"/>
  <c r="D1352" i="2"/>
  <c r="B1352" i="2"/>
  <c r="D1351" i="2"/>
  <c r="B1351" i="2"/>
  <c r="D1350" i="2"/>
  <c r="B1350" i="2"/>
  <c r="D1318" i="2"/>
  <c r="B1318" i="2"/>
  <c r="D1317" i="2"/>
  <c r="B1317" i="2"/>
  <c r="D1316" i="2"/>
  <c r="B1316" i="2"/>
  <c r="D1315" i="2"/>
  <c r="B1315" i="2"/>
  <c r="D1314" i="2"/>
  <c r="B1314" i="2"/>
  <c r="D1282" i="2"/>
  <c r="B1282" i="2"/>
  <c r="D1281" i="2"/>
  <c r="B1281" i="2"/>
  <c r="D1280" i="2"/>
  <c r="B1280" i="2"/>
  <c r="D1279" i="2"/>
  <c r="B1279" i="2"/>
  <c r="D1247" i="2"/>
  <c r="B1247" i="2"/>
  <c r="D1246" i="2"/>
  <c r="B1246" i="2"/>
  <c r="D1245" i="2"/>
  <c r="B1245" i="2"/>
  <c r="D1244" i="2"/>
  <c r="B1244" i="2"/>
  <c r="D1212" i="2"/>
  <c r="B1212" i="2"/>
  <c r="D1211" i="2"/>
  <c r="B1211" i="2"/>
  <c r="D1210" i="2"/>
  <c r="B1210" i="2"/>
  <c r="D1209" i="2"/>
  <c r="B1209" i="2"/>
  <c r="D1177" i="2"/>
  <c r="B1177" i="2"/>
  <c r="D1176" i="2"/>
  <c r="B1176" i="2"/>
  <c r="D1175" i="2"/>
  <c r="B1175" i="2"/>
  <c r="D1174" i="2"/>
  <c r="B1174" i="2"/>
  <c r="D1142" i="2"/>
  <c r="B1142" i="2"/>
  <c r="D1141" i="2"/>
  <c r="B1141" i="2"/>
  <c r="D1140" i="2"/>
  <c r="B1140" i="2"/>
  <c r="D1139" i="2"/>
  <c r="B1139" i="2"/>
  <c r="D1107" i="2"/>
  <c r="B1107" i="2"/>
  <c r="D1106" i="2"/>
  <c r="B1106" i="2"/>
  <c r="D1105" i="2"/>
  <c r="B1105" i="2"/>
  <c r="D1104" i="2"/>
  <c r="B1104" i="2"/>
  <c r="D1103" i="2"/>
  <c r="B1103" i="2"/>
  <c r="D1071" i="2"/>
  <c r="B1071" i="2"/>
  <c r="D1070" i="2"/>
  <c r="B1070" i="2"/>
  <c r="D1069" i="2"/>
  <c r="B1069" i="2"/>
  <c r="D1068" i="2"/>
  <c r="B1068" i="2"/>
  <c r="D1036" i="2"/>
  <c r="B1036" i="2"/>
  <c r="D1035" i="2"/>
  <c r="B1035" i="2"/>
  <c r="D1034" i="2"/>
  <c r="B1034" i="2"/>
  <c r="D1033" i="2"/>
  <c r="B1033" i="2"/>
  <c r="D1001" i="2"/>
  <c r="B1001" i="2"/>
  <c r="D1000" i="2"/>
  <c r="B1000" i="2"/>
  <c r="D999" i="2"/>
  <c r="B999" i="2"/>
  <c r="D998" i="2"/>
  <c r="B998" i="2"/>
  <c r="D966" i="2"/>
  <c r="B966" i="2"/>
  <c r="D965" i="2"/>
  <c r="B965" i="2"/>
  <c r="D964" i="2"/>
  <c r="B964" i="2"/>
  <c r="D963" i="2"/>
  <c r="B963" i="2"/>
  <c r="D931" i="2"/>
  <c r="B931" i="2"/>
  <c r="D930" i="2"/>
  <c r="B930" i="2"/>
  <c r="D929" i="2"/>
  <c r="B929" i="2"/>
  <c r="D928" i="2"/>
  <c r="B928" i="2"/>
  <c r="D897" i="2"/>
  <c r="B897" i="2"/>
  <c r="D896" i="2"/>
  <c r="B896" i="2"/>
  <c r="D895" i="2"/>
  <c r="B895" i="2"/>
  <c r="D894" i="2"/>
  <c r="B894" i="2"/>
  <c r="D893" i="2"/>
  <c r="B893" i="2"/>
  <c r="D861" i="2"/>
  <c r="B861" i="2"/>
  <c r="D860" i="2"/>
  <c r="B860" i="2"/>
  <c r="D859" i="2"/>
  <c r="B859" i="2"/>
  <c r="D858" i="2"/>
  <c r="B858" i="2"/>
  <c r="D826" i="2"/>
  <c r="B826" i="2"/>
  <c r="D825" i="2"/>
  <c r="B825" i="2"/>
  <c r="D824" i="2"/>
  <c r="B824" i="2"/>
  <c r="D823" i="2"/>
  <c r="B823" i="2"/>
  <c r="D791" i="2"/>
  <c r="B791" i="2"/>
  <c r="D790" i="2"/>
  <c r="B790" i="2"/>
  <c r="D789" i="2"/>
  <c r="B789" i="2"/>
  <c r="D788" i="2"/>
  <c r="B788" i="2"/>
  <c r="D756" i="2"/>
  <c r="B756" i="2"/>
  <c r="D755" i="2"/>
  <c r="B755" i="2"/>
  <c r="D754" i="2"/>
  <c r="B754" i="2"/>
  <c r="D753" i="2"/>
  <c r="B753" i="2"/>
  <c r="D721" i="2"/>
  <c r="B721" i="2"/>
  <c r="D720" i="2"/>
  <c r="B720" i="2"/>
  <c r="D719" i="2"/>
  <c r="B719" i="2"/>
  <c r="D718" i="2"/>
  <c r="B718" i="2"/>
  <c r="D685" i="2"/>
  <c r="B685" i="2"/>
  <c r="D684" i="2"/>
  <c r="B684" i="2"/>
  <c r="D683" i="2"/>
  <c r="B683" i="2"/>
  <c r="D682" i="2"/>
  <c r="B682" i="2"/>
  <c r="D681" i="2"/>
  <c r="B681" i="2"/>
  <c r="D649" i="2"/>
  <c r="B649" i="2"/>
  <c r="D648" i="2"/>
  <c r="B648" i="2"/>
  <c r="D647" i="2"/>
  <c r="B647" i="2"/>
  <c r="D646" i="2"/>
  <c r="B646" i="2"/>
  <c r="D614" i="2"/>
  <c r="B614" i="2"/>
  <c r="D613" i="2"/>
  <c r="B613" i="2"/>
  <c r="D612" i="2"/>
  <c r="B612" i="2"/>
  <c r="D611" i="2"/>
  <c r="B611" i="2"/>
  <c r="D579" i="2"/>
  <c r="B579" i="2"/>
  <c r="D578" i="2"/>
  <c r="B578" i="2"/>
  <c r="D577" i="2"/>
  <c r="B577" i="2"/>
  <c r="D576" i="2"/>
  <c r="B576" i="2"/>
  <c r="D548" i="2"/>
  <c r="B548" i="2"/>
  <c r="D547" i="2"/>
  <c r="B547" i="2"/>
  <c r="D546" i="2"/>
  <c r="B546" i="2"/>
  <c r="D545" i="2"/>
  <c r="B545" i="2"/>
  <c r="D544" i="2"/>
  <c r="B544" i="2"/>
  <c r="D512" i="2"/>
  <c r="B512" i="2"/>
  <c r="D511" i="2"/>
  <c r="B511" i="2"/>
  <c r="D510" i="2"/>
  <c r="B510" i="2"/>
  <c r="D509" i="2"/>
  <c r="B509" i="2"/>
  <c r="D477" i="2"/>
  <c r="B477" i="2"/>
  <c r="D476" i="2"/>
  <c r="B476" i="2"/>
  <c r="D475" i="2"/>
  <c r="B475" i="2"/>
  <c r="D474" i="2"/>
  <c r="B474" i="2"/>
  <c r="D442" i="2"/>
  <c r="B442" i="2"/>
  <c r="D441" i="2"/>
  <c r="B441" i="2"/>
  <c r="D440" i="2"/>
  <c r="B440" i="2"/>
  <c r="D439" i="2"/>
  <c r="B439" i="2"/>
  <c r="D405" i="2"/>
  <c r="B405" i="2"/>
  <c r="D404" i="2"/>
  <c r="B404" i="2"/>
  <c r="D403" i="2"/>
  <c r="B403" i="2"/>
  <c r="D402" i="2"/>
  <c r="B402" i="2"/>
  <c r="D401" i="2"/>
  <c r="B401" i="2"/>
  <c r="D368" i="2"/>
  <c r="B368" i="2"/>
  <c r="D367" i="2"/>
  <c r="B367" i="2"/>
  <c r="D366" i="2"/>
  <c r="B366" i="2"/>
  <c r="D365" i="2"/>
  <c r="B365" i="2"/>
  <c r="D332" i="2"/>
  <c r="B332" i="2"/>
  <c r="D331" i="2"/>
  <c r="B331" i="2"/>
  <c r="D330" i="2"/>
  <c r="B330" i="2"/>
  <c r="D329" i="2"/>
  <c r="B329" i="2"/>
  <c r="D296" i="2"/>
  <c r="B296" i="2"/>
  <c r="D295" i="2"/>
  <c r="B295" i="2"/>
  <c r="D294" i="2"/>
  <c r="B294" i="2"/>
  <c r="D293" i="2"/>
  <c r="B293" i="2"/>
  <c r="D260" i="2"/>
  <c r="B260" i="2"/>
  <c r="D259" i="2"/>
  <c r="B259" i="2"/>
  <c r="D258" i="2"/>
  <c r="B258" i="2"/>
  <c r="D257" i="2"/>
  <c r="B257" i="2"/>
  <c r="D256" i="2"/>
  <c r="B256" i="2"/>
  <c r="D223" i="2"/>
  <c r="B223" i="2"/>
  <c r="D222" i="2"/>
  <c r="B222" i="2"/>
  <c r="D221" i="2"/>
  <c r="B221" i="2"/>
  <c r="D220" i="2"/>
  <c r="B220" i="2"/>
  <c r="D187" i="2"/>
  <c r="B187" i="2"/>
  <c r="D186" i="2"/>
  <c r="B186" i="2"/>
  <c r="D185" i="2"/>
  <c r="B185" i="2"/>
  <c r="D184" i="2"/>
  <c r="B184" i="2"/>
  <c r="D151" i="2"/>
  <c r="B151" i="2"/>
  <c r="D150" i="2"/>
  <c r="B150" i="2"/>
  <c r="D149" i="2"/>
  <c r="B149" i="2"/>
  <c r="D148" i="2"/>
  <c r="B148" i="2"/>
  <c r="D115" i="2"/>
  <c r="B115" i="2"/>
  <c r="D114" i="2"/>
  <c r="B114" i="2"/>
  <c r="D113" i="2"/>
  <c r="B113" i="2"/>
  <c r="D112" i="2"/>
  <c r="B112" i="2"/>
  <c r="D111" i="2"/>
  <c r="B111" i="2"/>
  <c r="D79" i="2"/>
  <c r="B79" i="2"/>
  <c r="D78" i="2"/>
  <c r="B78" i="2"/>
  <c r="D77" i="2"/>
  <c r="B77" i="2"/>
  <c r="D76" i="2"/>
  <c r="B76" i="2"/>
  <c r="D75" i="2"/>
  <c r="B75" i="2"/>
  <c r="I53" i="2" l="1"/>
  <c r="H53" i="2"/>
  <c r="F53" i="2"/>
  <c r="E53" i="2"/>
  <c r="I37" i="2"/>
  <c r="H37" i="2"/>
  <c r="F37" i="2"/>
  <c r="E37" i="2"/>
  <c r="N2048" i="2"/>
  <c r="N2013" i="2"/>
  <c r="N1978" i="2"/>
  <c r="N1943" i="2"/>
  <c r="N1907" i="2"/>
  <c r="N1872" i="2"/>
  <c r="N1837" i="2"/>
  <c r="N1802" i="2"/>
  <c r="N1767" i="2"/>
  <c r="N1731" i="2"/>
  <c r="N1696" i="2"/>
  <c r="N1661" i="2"/>
  <c r="N1626" i="2"/>
  <c r="N1591" i="2"/>
  <c r="N1555" i="2"/>
  <c r="N1520" i="2"/>
  <c r="N1485" i="2"/>
  <c r="N1450" i="2"/>
  <c r="N1415" i="2"/>
  <c r="N1382" i="2"/>
  <c r="N1348" i="2"/>
  <c r="N1312" i="2"/>
  <c r="N1277" i="2"/>
  <c r="N1242" i="2"/>
  <c r="N1207" i="2"/>
  <c r="N1172" i="2"/>
  <c r="N1137" i="2"/>
  <c r="N1101" i="2"/>
  <c r="N1066" i="2"/>
  <c r="N1031" i="2"/>
  <c r="N996" i="2"/>
  <c r="N961" i="2"/>
  <c r="N109" i="2"/>
  <c r="N146" i="2" s="1"/>
  <c r="N182" i="2" l="1"/>
  <c r="N218" i="2" s="1"/>
  <c r="N254" i="2" s="1"/>
  <c r="N291" i="2" s="1"/>
  <c r="N327" i="2" s="1"/>
  <c r="N363" i="2" s="1"/>
  <c r="N399" i="2" s="1"/>
  <c r="N437" i="2" s="1"/>
  <c r="N472" i="2" s="1"/>
  <c r="N507" i="2" l="1"/>
  <c r="N542" i="2" s="1"/>
  <c r="N574" i="2" s="1"/>
  <c r="N609" i="2" s="1"/>
  <c r="N644" i="2" s="1"/>
  <c r="N679" i="2" s="1"/>
  <c r="N716" i="2" s="1"/>
  <c r="N751" i="2" s="1"/>
  <c r="N786" i="2" s="1"/>
  <c r="N821" i="2" s="1"/>
  <c r="N856" i="2" s="1"/>
  <c r="N891" i="2" s="1"/>
  <c r="N926" i="2" s="1"/>
  <c r="B31" i="2" l="1"/>
  <c r="Q2048" i="2" l="1"/>
  <c r="Q2013" i="2"/>
  <c r="Q1978" i="2"/>
  <c r="Q1943" i="2"/>
  <c r="Q1907" i="2"/>
  <c r="Q1872" i="2"/>
  <c r="Q1837" i="2" l="1"/>
  <c r="Q1802" i="2"/>
  <c r="Q1767" i="2"/>
  <c r="Q1731" i="2"/>
  <c r="Q1696" i="2"/>
  <c r="Q1661" i="2"/>
  <c r="Q1626" i="2"/>
  <c r="Q1591" i="2"/>
  <c r="Q1555" i="2"/>
  <c r="Q1520" i="2"/>
  <c r="Q1485" i="2"/>
  <c r="Q1450" i="2"/>
  <c r="Q1415" i="2"/>
  <c r="Q1382" i="2"/>
  <c r="Q1348" i="2"/>
  <c r="Q1312" i="2"/>
  <c r="Q1277" i="2"/>
  <c r="Q1242" i="2"/>
  <c r="Q1207" i="2"/>
  <c r="Q1172" i="2"/>
  <c r="Q1137" i="2"/>
  <c r="Q1101" i="2"/>
  <c r="Q1066" i="2"/>
  <c r="Q1031" i="2"/>
  <c r="Q996" i="2"/>
  <c r="Q961" i="2"/>
  <c r="Q109" i="2"/>
  <c r="Q146" i="2" l="1"/>
  <c r="Q182" i="2" l="1"/>
  <c r="Q218" i="2" s="1"/>
  <c r="Q254" i="2" s="1"/>
  <c r="Q291" i="2" s="1"/>
  <c r="Q327" i="2" s="1"/>
  <c r="Q363" i="2" s="1"/>
  <c r="T2048" i="2"/>
  <c r="T2013" i="2"/>
  <c r="T1978" i="2"/>
  <c r="T1943" i="2"/>
  <c r="T1907" i="2"/>
  <c r="T1872" i="2"/>
  <c r="T1837" i="2"/>
  <c r="T1802" i="2"/>
  <c r="T1767" i="2"/>
  <c r="T1731" i="2"/>
  <c r="T1696" i="2"/>
  <c r="T1661" i="2"/>
  <c r="T1626" i="2"/>
  <c r="T1591" i="2"/>
  <c r="T1555" i="2"/>
  <c r="T1520" i="2"/>
  <c r="T1485" i="2"/>
  <c r="T1450" i="2"/>
  <c r="T1415" i="2"/>
  <c r="T1382" i="2"/>
  <c r="T1348" i="2"/>
  <c r="T1312" i="2"/>
  <c r="T1277" i="2"/>
  <c r="T1242" i="2"/>
  <c r="T1207" i="2"/>
  <c r="T1172" i="2"/>
  <c r="T1137" i="2"/>
  <c r="T1101" i="2"/>
  <c r="T1066" i="2"/>
  <c r="T1031" i="2"/>
  <c r="T996" i="2"/>
  <c r="T961" i="2"/>
  <c r="T109" i="2"/>
  <c r="T146" i="2" s="1"/>
  <c r="T182" i="2" s="1"/>
  <c r="T218" i="2" s="1"/>
  <c r="T254" i="2" s="1"/>
  <c r="T291" i="2" s="1"/>
  <c r="T327" i="2" s="1"/>
  <c r="T363" i="2" s="1"/>
  <c r="T399" i="2" s="1"/>
  <c r="T437" i="2" s="1"/>
  <c r="T472" i="2" s="1"/>
  <c r="T507" i="2" s="1"/>
  <c r="T542" i="2" s="1"/>
  <c r="T574" i="2" s="1"/>
  <c r="T609" i="2" s="1"/>
  <c r="T644" i="2" s="1"/>
  <c r="T679" i="2" s="1"/>
  <c r="T716" i="2" s="1"/>
  <c r="T751" i="2" s="1"/>
  <c r="T786" i="2" s="1"/>
  <c r="T821" i="2" s="1"/>
  <c r="T856" i="2" s="1"/>
  <c r="T891" i="2" s="1"/>
  <c r="T926" i="2" s="1"/>
  <c r="Q399" i="2" l="1"/>
  <c r="Q437" i="2" s="1"/>
  <c r="Q472" i="2" s="1"/>
  <c r="Q507" i="2" s="1"/>
  <c r="Q542" i="2" s="1"/>
  <c r="Q574" i="2" s="1"/>
  <c r="Q609" i="2" s="1"/>
  <c r="Q644" i="2" s="1"/>
  <c r="Q679" i="2" s="1"/>
  <c r="Q716" i="2" s="1"/>
  <c r="Q751" i="2" s="1"/>
  <c r="Q786" i="2" s="1"/>
  <c r="Q821" i="2" s="1"/>
  <c r="Q856" i="2" s="1"/>
  <c r="Q891" i="2" s="1"/>
  <c r="Q926" i="2" s="1"/>
  <c r="B35" i="2"/>
  <c r="C35" i="2"/>
  <c r="Z2048" i="2" l="1"/>
  <c r="Z2013" i="2"/>
  <c r="Z1978" i="2"/>
  <c r="Z1943" i="2"/>
  <c r="Z1907" i="2"/>
  <c r="Z1872" i="2"/>
  <c r="Z1837" i="2"/>
  <c r="Z1802" i="2"/>
  <c r="Z1767" i="2"/>
  <c r="Z1731" i="2"/>
  <c r="Z1696" i="2"/>
  <c r="Z1661" i="2"/>
  <c r="Z1626" i="2"/>
  <c r="Z1591" i="2"/>
  <c r="Z1555" i="2"/>
  <c r="Z1520" i="2"/>
  <c r="Z1485" i="2"/>
  <c r="Z1450" i="2"/>
  <c r="Z1415" i="2"/>
  <c r="Z1382" i="2"/>
  <c r="Z1348" i="2"/>
  <c r="Z1312" i="2"/>
  <c r="Z1277" i="2"/>
  <c r="Z1242" i="2"/>
  <c r="Z1207" i="2"/>
  <c r="Z1172" i="2"/>
  <c r="Z1137" i="2"/>
  <c r="Z1101" i="2"/>
  <c r="Z1066" i="2"/>
  <c r="Z1031" i="2"/>
  <c r="Z996" i="2"/>
  <c r="Z961" i="2"/>
  <c r="Z109" i="2"/>
  <c r="Z146" i="2" s="1"/>
  <c r="Z182" i="2" s="1"/>
  <c r="Z218" i="2" s="1"/>
  <c r="Z254" i="2" s="1"/>
  <c r="Z291" i="2" s="1"/>
  <c r="Z327" i="2" s="1"/>
  <c r="Z363" i="2" s="1"/>
  <c r="Z399" i="2" s="1"/>
  <c r="Z437" i="2" s="1"/>
  <c r="Z472" i="2" s="1"/>
  <c r="Z507" i="2" s="1"/>
  <c r="Z542" i="2" s="1"/>
  <c r="Z574" i="2" s="1"/>
  <c r="Z609" i="2" s="1"/>
  <c r="Z644" i="2" s="1"/>
  <c r="Z679" i="2" s="1"/>
  <c r="Z716" i="2" s="1"/>
  <c r="Z751" i="2" s="1"/>
  <c r="Z786" i="2" s="1"/>
  <c r="Z821" i="2" s="1"/>
  <c r="Z856" i="2" s="1"/>
  <c r="Z891" i="2" s="1"/>
  <c r="Z926" i="2" s="1"/>
  <c r="W2048" i="2"/>
  <c r="W2013" i="2"/>
  <c r="W1978" i="2"/>
  <c r="W1943" i="2"/>
  <c r="W1907" i="2"/>
  <c r="W1872" i="2"/>
  <c r="W1837" i="2"/>
  <c r="W1802" i="2"/>
  <c r="W1767" i="2"/>
  <c r="W1731" i="2"/>
  <c r="W1696" i="2"/>
  <c r="W1661" i="2"/>
  <c r="W1626" i="2"/>
  <c r="W1591" i="2"/>
  <c r="W1555" i="2"/>
  <c r="W1520" i="2"/>
  <c r="W1485" i="2"/>
  <c r="W1450" i="2"/>
  <c r="W1415" i="2"/>
  <c r="W1382" i="2"/>
  <c r="W1348" i="2"/>
  <c r="W1312" i="2"/>
  <c r="W1277" i="2"/>
  <c r="W1242" i="2"/>
  <c r="W1207" i="2"/>
  <c r="W1172" i="2"/>
  <c r="W1137" i="2"/>
  <c r="W1101" i="2"/>
  <c r="W1066" i="2"/>
  <c r="W1031" i="2"/>
  <c r="W996" i="2"/>
  <c r="W961" i="2"/>
  <c r="W109" i="2"/>
  <c r="W146" i="2" s="1"/>
  <c r="W182" i="2" s="1"/>
  <c r="W218" i="2" s="1"/>
  <c r="W254" i="2" s="1"/>
  <c r="W291" i="2" s="1"/>
  <c r="W327" i="2" s="1"/>
  <c r="W363" i="2" s="1"/>
  <c r="W399" i="2" s="1"/>
  <c r="W437" i="2" s="1"/>
  <c r="W472" i="2" s="1"/>
  <c r="W507" i="2" s="1"/>
  <c r="W542" i="2" s="1"/>
  <c r="W574" i="2" s="1"/>
  <c r="W609" i="2" s="1"/>
  <c r="W644" i="2" s="1"/>
  <c r="W679" i="2" s="1"/>
  <c r="W716" i="2" s="1"/>
  <c r="W751" i="2" s="1"/>
  <c r="W786" i="2" s="1"/>
  <c r="W821" i="2" s="1"/>
  <c r="W856" i="2" s="1"/>
  <c r="W891" i="2" s="1"/>
  <c r="W926" i="2" s="1"/>
  <c r="F1698" i="2" l="1"/>
  <c r="F1699" i="2"/>
  <c r="F1700" i="2"/>
  <c r="F1701" i="2"/>
  <c r="B27" i="2"/>
  <c r="B28" i="2"/>
  <c r="C27" i="2"/>
  <c r="B43" i="2"/>
  <c r="C43" i="2"/>
  <c r="D2048" i="2" l="1"/>
  <c r="B2048" i="2"/>
  <c r="D2013" i="2"/>
  <c r="B2013" i="2"/>
  <c r="D1978" i="2"/>
  <c r="B1978" i="2"/>
  <c r="D1943" i="2"/>
  <c r="B1943" i="2"/>
  <c r="D1907" i="2"/>
  <c r="B1907" i="2"/>
  <c r="D1872" i="2"/>
  <c r="B1872" i="2"/>
  <c r="D1837" i="2"/>
  <c r="B1837" i="2"/>
  <c r="D1802" i="2"/>
  <c r="B1802" i="2"/>
  <c r="D1767" i="2"/>
  <c r="B1767" i="2"/>
  <c r="D1731" i="2"/>
  <c r="B1731" i="2"/>
  <c r="D1696" i="2"/>
  <c r="B1696" i="2"/>
  <c r="D1661" i="2"/>
  <c r="B1661" i="2"/>
  <c r="D1626" i="2"/>
  <c r="B1626" i="2"/>
  <c r="D1591" i="2"/>
  <c r="B1591" i="2"/>
  <c r="D1555" i="2"/>
  <c r="B1555" i="2"/>
  <c r="D1520" i="2"/>
  <c r="B1520" i="2"/>
  <c r="D1485" i="2"/>
  <c r="B1485" i="2"/>
  <c r="D1450" i="2"/>
  <c r="B1450" i="2"/>
  <c r="D1415" i="2"/>
  <c r="B1415" i="2"/>
  <c r="D1382" i="2"/>
  <c r="B1382" i="2"/>
  <c r="D1348" i="2"/>
  <c r="B1348" i="2"/>
  <c r="D1312" i="2"/>
  <c r="B1312" i="2"/>
  <c r="D1277" i="2"/>
  <c r="B1277" i="2"/>
  <c r="D1242" i="2"/>
  <c r="B1242" i="2"/>
  <c r="D1207" i="2"/>
  <c r="B1207" i="2"/>
  <c r="D1172" i="2"/>
  <c r="B1172" i="2"/>
  <c r="D1137" i="2"/>
  <c r="B1137" i="2"/>
  <c r="D1101" i="2"/>
  <c r="B1101" i="2"/>
  <c r="D1066" i="2"/>
  <c r="B1066" i="2"/>
  <c r="D1031" i="2"/>
  <c r="B1031" i="2"/>
  <c r="D996" i="2"/>
  <c r="B996" i="2"/>
  <c r="D961" i="2"/>
  <c r="B961" i="2"/>
  <c r="D926" i="2"/>
  <c r="B926" i="2"/>
  <c r="D891" i="2"/>
  <c r="B891" i="2"/>
  <c r="D856" i="2"/>
  <c r="B856" i="2"/>
  <c r="D821" i="2"/>
  <c r="B821" i="2"/>
  <c r="D786" i="2"/>
  <c r="B786" i="2"/>
  <c r="D751" i="2"/>
  <c r="B751" i="2"/>
  <c r="D716" i="2"/>
  <c r="B716" i="2"/>
  <c r="D679" i="2"/>
  <c r="B679" i="2"/>
  <c r="D644" i="2"/>
  <c r="B644" i="2"/>
  <c r="D609" i="2"/>
  <c r="B609" i="2"/>
  <c r="D574" i="2"/>
  <c r="B574" i="2"/>
  <c r="D542" i="2"/>
  <c r="B542" i="2"/>
  <c r="D507" i="2"/>
  <c r="B507" i="2"/>
  <c r="D472" i="2"/>
  <c r="B472" i="2"/>
  <c r="D437" i="2"/>
  <c r="B437" i="2"/>
  <c r="D399" i="2"/>
  <c r="B399" i="2"/>
  <c r="D363" i="2"/>
  <c r="B363" i="2"/>
  <c r="D327" i="2"/>
  <c r="B327" i="2"/>
  <c r="D291" i="2"/>
  <c r="B291" i="2"/>
  <c r="D254" i="2"/>
  <c r="B254" i="2"/>
  <c r="D218" i="2"/>
  <c r="B218" i="2"/>
  <c r="D182" i="2"/>
  <c r="B182" i="2"/>
  <c r="D146" i="2"/>
  <c r="B146" i="2"/>
  <c r="D109" i="2"/>
  <c r="B109" i="2"/>
  <c r="F1279" i="2" l="1"/>
  <c r="F1417" i="2"/>
  <c r="F1419" i="2"/>
  <c r="F1452" i="2"/>
  <c r="F1454" i="2"/>
  <c r="F1487" i="2"/>
  <c r="F1489" i="2"/>
  <c r="F1522" i="2"/>
  <c r="F1524" i="2"/>
  <c r="F1593" i="2"/>
  <c r="F1595" i="2"/>
  <c r="F1281" i="2"/>
  <c r="F1280" i="2"/>
  <c r="F1282" i="2"/>
  <c r="F1418" i="2"/>
  <c r="F1420" i="2"/>
  <c r="F1453" i="2"/>
  <c r="F1455" i="2"/>
  <c r="F1488" i="2"/>
  <c r="F1490" i="2"/>
  <c r="F1523" i="2"/>
  <c r="F1525" i="2"/>
  <c r="F1594" i="2"/>
  <c r="F1596" i="2"/>
  <c r="B1283" i="2"/>
  <c r="D1283" i="2"/>
  <c r="E1283" i="2" s="1"/>
  <c r="E1282" i="2" l="1"/>
  <c r="E1280" i="2"/>
  <c r="E1281" i="2"/>
  <c r="E1279" i="2"/>
  <c r="D513" i="2"/>
  <c r="E513" i="2" s="1"/>
  <c r="F509" i="2"/>
  <c r="F510" i="2"/>
  <c r="F511" i="2"/>
  <c r="F512" i="2"/>
  <c r="F332" i="2"/>
  <c r="F576" i="2"/>
  <c r="F578" i="2"/>
  <c r="F646" i="2"/>
  <c r="F648" i="2"/>
  <c r="F718" i="2"/>
  <c r="F720" i="2"/>
  <c r="F753" i="2"/>
  <c r="F755" i="2"/>
  <c r="F788" i="2"/>
  <c r="F790" i="2"/>
  <c r="F823" i="2"/>
  <c r="F825" i="2"/>
  <c r="F858" i="2"/>
  <c r="F860" i="2"/>
  <c r="F893" i="2"/>
  <c r="F895" i="2"/>
  <c r="F928" i="2"/>
  <c r="F930" i="2"/>
  <c r="F963" i="2"/>
  <c r="F965" i="2"/>
  <c r="F998" i="2"/>
  <c r="F1000" i="2"/>
  <c r="F1033" i="2"/>
  <c r="F1035" i="2"/>
  <c r="F1068" i="2"/>
  <c r="F1070" i="2"/>
  <c r="F1139" i="2"/>
  <c r="F1141" i="2"/>
  <c r="F1174" i="2"/>
  <c r="F1176" i="2"/>
  <c r="F1209" i="2"/>
  <c r="F1211" i="2"/>
  <c r="F1244" i="2"/>
  <c r="F1246" i="2"/>
  <c r="F1628" i="2"/>
  <c r="F1630" i="2"/>
  <c r="F1663" i="2"/>
  <c r="F1665" i="2"/>
  <c r="F1769" i="2"/>
  <c r="F1771" i="2"/>
  <c r="F1804" i="2"/>
  <c r="F1806" i="2"/>
  <c r="F1839" i="2"/>
  <c r="F1841" i="2"/>
  <c r="F1874" i="2"/>
  <c r="F1876" i="2"/>
  <c r="F1945" i="2"/>
  <c r="F1947" i="2"/>
  <c r="F1980" i="2"/>
  <c r="F1982" i="2"/>
  <c r="F2015" i="2"/>
  <c r="F2017" i="2"/>
  <c r="F2050" i="2"/>
  <c r="F2052" i="2"/>
  <c r="F474" i="2"/>
  <c r="F476" i="2"/>
  <c r="F1526" i="2"/>
  <c r="G1526" i="2" s="1"/>
  <c r="F1456" i="2"/>
  <c r="F1283" i="2"/>
  <c r="G1280" i="2" s="1"/>
  <c r="F150" i="2"/>
  <c r="F186" i="2"/>
  <c r="F222" i="2"/>
  <c r="F295" i="2"/>
  <c r="F331" i="2"/>
  <c r="F367" i="2"/>
  <c r="F441" i="2"/>
  <c r="F442" i="2"/>
  <c r="F368" i="2"/>
  <c r="F296" i="2"/>
  <c r="F223" i="2"/>
  <c r="F187" i="2"/>
  <c r="F151" i="2"/>
  <c r="F577" i="2"/>
  <c r="F579" i="2"/>
  <c r="F647" i="2"/>
  <c r="F649" i="2"/>
  <c r="F719" i="2"/>
  <c r="F721" i="2"/>
  <c r="F754" i="2"/>
  <c r="F756" i="2"/>
  <c r="F789" i="2"/>
  <c r="F791" i="2"/>
  <c r="F824" i="2"/>
  <c r="F826" i="2"/>
  <c r="F859" i="2"/>
  <c r="F861" i="2"/>
  <c r="F894" i="2"/>
  <c r="F896" i="2"/>
  <c r="F929" i="2"/>
  <c r="F931" i="2"/>
  <c r="F964" i="2"/>
  <c r="F966" i="2"/>
  <c r="F999" i="2"/>
  <c r="F1001" i="2"/>
  <c r="F1034" i="2"/>
  <c r="F1036" i="2"/>
  <c r="F1069" i="2"/>
  <c r="F1071" i="2"/>
  <c r="F1140" i="2"/>
  <c r="F1142" i="2"/>
  <c r="F1175" i="2"/>
  <c r="F1177" i="2"/>
  <c r="F1210" i="2"/>
  <c r="F1212" i="2"/>
  <c r="F1245" i="2"/>
  <c r="F1247" i="2"/>
  <c r="F1629" i="2"/>
  <c r="F1631" i="2"/>
  <c r="F1664" i="2"/>
  <c r="F1666" i="2"/>
  <c r="F1770" i="2"/>
  <c r="F1772" i="2"/>
  <c r="F1805" i="2"/>
  <c r="F1807" i="2"/>
  <c r="F1840" i="2"/>
  <c r="F1842" i="2"/>
  <c r="F1875" i="2"/>
  <c r="F1877" i="2"/>
  <c r="F1946" i="2"/>
  <c r="F1948" i="2"/>
  <c r="F1981" i="2"/>
  <c r="F1983" i="2"/>
  <c r="F2016" i="2"/>
  <c r="F2018" i="2"/>
  <c r="F2051" i="2"/>
  <c r="F2053" i="2"/>
  <c r="F475" i="2"/>
  <c r="F477" i="2"/>
  <c r="F897" i="2"/>
  <c r="F1597" i="2"/>
  <c r="G1597" i="2" s="1"/>
  <c r="F1491" i="2"/>
  <c r="F1421" i="2"/>
  <c r="G1421" i="2" s="1"/>
  <c r="C1283" i="2"/>
  <c r="C1281" i="2"/>
  <c r="C1279" i="2"/>
  <c r="C1282" i="2"/>
  <c r="C1280" i="2"/>
  <c r="B513" i="2"/>
  <c r="B1914" i="2"/>
  <c r="C1914" i="2" s="1"/>
  <c r="D1914" i="2"/>
  <c r="E1913" i="2" s="1"/>
  <c r="D1389" i="2"/>
  <c r="E1388" i="2" s="1"/>
  <c r="B1421" i="2"/>
  <c r="D1421" i="2"/>
  <c r="B1562" i="2"/>
  <c r="C1561" i="2" s="1"/>
  <c r="D1562" i="2"/>
  <c r="E1562" i="2" s="1"/>
  <c r="B1738" i="2"/>
  <c r="C1737" i="2" s="1"/>
  <c r="D1738" i="2"/>
  <c r="E1737" i="2" s="1"/>
  <c r="B406" i="2"/>
  <c r="C406" i="2" s="1"/>
  <c r="F1913" i="2"/>
  <c r="F1737" i="2"/>
  <c r="B1389" i="2"/>
  <c r="C1387" i="2" s="1"/>
  <c r="F1561" i="2"/>
  <c r="B827" i="2"/>
  <c r="B862" i="2"/>
  <c r="B898" i="2"/>
  <c r="C897" i="2" s="1"/>
  <c r="D898" i="2"/>
  <c r="E894" i="2" s="1"/>
  <c r="B932" i="2"/>
  <c r="D932" i="2"/>
  <c r="B967" i="2"/>
  <c r="D967" i="2"/>
  <c r="E964" i="2" s="1"/>
  <c r="B1002" i="2"/>
  <c r="D1002" i="2"/>
  <c r="B1037" i="2"/>
  <c r="D1037" i="2"/>
  <c r="E1034" i="2" s="1"/>
  <c r="B1072" i="2"/>
  <c r="D1072" i="2"/>
  <c r="B1108" i="2"/>
  <c r="C1107" i="2" s="1"/>
  <c r="D1108" i="2"/>
  <c r="E1108" i="2" s="1"/>
  <c r="B1143" i="2"/>
  <c r="D1143" i="2"/>
  <c r="E1140" i="2" s="1"/>
  <c r="B1178" i="2"/>
  <c r="D1178" i="2"/>
  <c r="B1213" i="2"/>
  <c r="D1213" i="2"/>
  <c r="E1210" i="2" s="1"/>
  <c r="B1248" i="2"/>
  <c r="D1248" i="2"/>
  <c r="B1319" i="2"/>
  <c r="C1318" i="2" s="1"/>
  <c r="D1319" i="2"/>
  <c r="E1318" i="2" s="1"/>
  <c r="B1355" i="2"/>
  <c r="C1354" i="2" s="1"/>
  <c r="D1355" i="2"/>
  <c r="E1354" i="2" s="1"/>
  <c r="D478" i="2"/>
  <c r="E478" i="2" s="1"/>
  <c r="F1388" i="2"/>
  <c r="F1354" i="2"/>
  <c r="F1318" i="2"/>
  <c r="D686" i="2"/>
  <c r="E682" i="2" s="1"/>
  <c r="B1491" i="2"/>
  <c r="D406" i="2"/>
  <c r="E406" i="2" s="1"/>
  <c r="F1107" i="2"/>
  <c r="D792" i="2"/>
  <c r="D1491" i="2"/>
  <c r="B1597" i="2"/>
  <c r="D1702" i="2"/>
  <c r="B1773" i="2"/>
  <c r="D1808" i="2"/>
  <c r="E1808" i="2" s="1"/>
  <c r="B1843" i="2"/>
  <c r="D1843" i="2"/>
  <c r="E1843" i="2" s="1"/>
  <c r="B1878" i="2"/>
  <c r="B1949" i="2"/>
  <c r="D1984" i="2"/>
  <c r="E1981" i="2" s="1"/>
  <c r="B2019" i="2"/>
  <c r="D2054" i="2"/>
  <c r="E2051" i="2" s="1"/>
  <c r="B478" i="2"/>
  <c r="B549" i="2"/>
  <c r="C549" i="2" s="1"/>
  <c r="B580" i="2"/>
  <c r="D580" i="2"/>
  <c r="E580" i="2" s="1"/>
  <c r="B615" i="2"/>
  <c r="D615" i="2"/>
  <c r="E615" i="2" s="1"/>
  <c r="B650" i="2"/>
  <c r="D650" i="2"/>
  <c r="E650" i="2" s="1"/>
  <c r="D549" i="2"/>
  <c r="E549" i="2" s="1"/>
  <c r="B686" i="2"/>
  <c r="B722" i="2"/>
  <c r="D722" i="2"/>
  <c r="E722" i="2" s="1"/>
  <c r="B757" i="2"/>
  <c r="D757" i="2"/>
  <c r="E757" i="2" s="1"/>
  <c r="B792" i="2"/>
  <c r="D827" i="2"/>
  <c r="E827" i="2" s="1"/>
  <c r="D862" i="2"/>
  <c r="E859" i="2" s="1"/>
  <c r="B1456" i="2"/>
  <c r="D1456" i="2"/>
  <c r="B1526" i="2"/>
  <c r="D1526" i="2"/>
  <c r="D1597" i="2"/>
  <c r="B1632" i="2"/>
  <c r="D1632" i="2"/>
  <c r="E1632" i="2" s="1"/>
  <c r="B1667" i="2"/>
  <c r="D1667" i="2"/>
  <c r="E1667" i="2" s="1"/>
  <c r="B1702" i="2"/>
  <c r="D1773" i="2"/>
  <c r="B1808" i="2"/>
  <c r="D1878" i="2"/>
  <c r="E1878" i="2" s="1"/>
  <c r="D1949" i="2"/>
  <c r="B1984" i="2"/>
  <c r="D2019" i="2"/>
  <c r="B2054" i="2"/>
  <c r="F1910" i="2"/>
  <c r="F1912" i="2"/>
  <c r="F1909" i="2"/>
  <c r="F1911" i="2"/>
  <c r="F1734" i="2"/>
  <c r="F1736" i="2"/>
  <c r="F1733" i="2"/>
  <c r="F1735" i="2"/>
  <c r="F1560" i="2"/>
  <c r="F1557" i="2"/>
  <c r="F1558" i="2"/>
  <c r="F1559" i="2"/>
  <c r="F1385" i="2"/>
  <c r="F1387" i="2"/>
  <c r="F1384" i="2"/>
  <c r="F1386" i="2"/>
  <c r="F1353" i="2"/>
  <c r="F1350" i="2"/>
  <c r="F1351" i="2"/>
  <c r="F1352" i="2"/>
  <c r="F1315" i="2"/>
  <c r="F1317" i="2"/>
  <c r="F1314" i="2"/>
  <c r="F1316" i="2"/>
  <c r="F1103" i="2"/>
  <c r="F1104" i="2"/>
  <c r="F1106" i="2"/>
  <c r="F1105" i="2"/>
  <c r="F681" i="2"/>
  <c r="F682" i="2"/>
  <c r="F683" i="2"/>
  <c r="F684" i="2"/>
  <c r="F685" i="2"/>
  <c r="F611" i="2"/>
  <c r="F612" i="2"/>
  <c r="F613" i="2"/>
  <c r="F614" i="2"/>
  <c r="F544" i="2"/>
  <c r="F545" i="2"/>
  <c r="F546" i="2"/>
  <c r="F547" i="2"/>
  <c r="F548" i="2"/>
  <c r="F401" i="2"/>
  <c r="F402" i="2"/>
  <c r="F403" i="2"/>
  <c r="F404" i="2"/>
  <c r="F405" i="2"/>
  <c r="F260" i="2"/>
  <c r="F115" i="2"/>
  <c r="F79" i="2"/>
  <c r="C1770" i="2" l="1"/>
  <c r="C1773" i="2"/>
  <c r="E1773" i="2"/>
  <c r="E1770" i="2"/>
  <c r="E1772" i="2"/>
  <c r="E1769" i="2"/>
  <c r="E1771" i="2"/>
  <c r="E1702" i="2"/>
  <c r="F1702" i="2"/>
  <c r="C1913" i="2"/>
  <c r="E1560" i="2"/>
  <c r="C1388" i="2"/>
  <c r="E1561" i="2"/>
  <c r="E1701" i="2"/>
  <c r="E1700" i="2"/>
  <c r="E1699" i="2"/>
  <c r="E1698" i="2"/>
  <c r="E512" i="2"/>
  <c r="E511" i="2"/>
  <c r="E510" i="2"/>
  <c r="E509" i="2"/>
  <c r="G1417" i="2"/>
  <c r="G1419" i="2"/>
  <c r="G1593" i="2"/>
  <c r="G1595" i="2"/>
  <c r="E477" i="2"/>
  <c r="E475" i="2"/>
  <c r="E1877" i="2"/>
  <c r="E1875" i="2"/>
  <c r="E1807" i="2"/>
  <c r="E1805" i="2"/>
  <c r="E1666" i="2"/>
  <c r="E1664" i="2"/>
  <c r="E1631" i="2"/>
  <c r="E1629" i="2"/>
  <c r="E649" i="2"/>
  <c r="E647" i="2"/>
  <c r="E1841" i="2"/>
  <c r="E1839" i="2"/>
  <c r="G1596" i="2"/>
  <c r="E897" i="2"/>
  <c r="E2053" i="2"/>
  <c r="E1983" i="2"/>
  <c r="E1212" i="2"/>
  <c r="E1142" i="2"/>
  <c r="E1036" i="2"/>
  <c r="E966" i="2"/>
  <c r="E896" i="2"/>
  <c r="G1420" i="2"/>
  <c r="E612" i="2"/>
  <c r="E579" i="2"/>
  <c r="E577" i="2"/>
  <c r="G1522" i="2"/>
  <c r="G1524" i="2"/>
  <c r="G1523" i="2"/>
  <c r="E1663" i="2"/>
  <c r="E613" i="2"/>
  <c r="E825" i="2"/>
  <c r="E861" i="2"/>
  <c r="E756" i="2"/>
  <c r="E754" i="2"/>
  <c r="E720" i="2"/>
  <c r="E718" i="2"/>
  <c r="G1491" i="2"/>
  <c r="G1488" i="2"/>
  <c r="G1489" i="2"/>
  <c r="G1487" i="2"/>
  <c r="G1456" i="2"/>
  <c r="G1455" i="2"/>
  <c r="G1454" i="2"/>
  <c r="G1452" i="2"/>
  <c r="F478" i="2"/>
  <c r="G478" i="2" s="1"/>
  <c r="F2054" i="2"/>
  <c r="G2054" i="2" s="1"/>
  <c r="E2019" i="2"/>
  <c r="E2016" i="2"/>
  <c r="E2018" i="2"/>
  <c r="E2015" i="2"/>
  <c r="E2017" i="2"/>
  <c r="E1949" i="2"/>
  <c r="E1946" i="2"/>
  <c r="E1948" i="2"/>
  <c r="E1945" i="2"/>
  <c r="E1947" i="2"/>
  <c r="E1526" i="2"/>
  <c r="E1522" i="2"/>
  <c r="E1524" i="2"/>
  <c r="E1523" i="2"/>
  <c r="E1525" i="2"/>
  <c r="E1456" i="2"/>
  <c r="E1452" i="2"/>
  <c r="E1454" i="2"/>
  <c r="E1453" i="2"/>
  <c r="E1455" i="2"/>
  <c r="E862" i="2"/>
  <c r="E858" i="2"/>
  <c r="E860" i="2"/>
  <c r="E2054" i="2"/>
  <c r="E2050" i="2"/>
  <c r="E2052" i="2"/>
  <c r="E1984" i="2"/>
  <c r="E1980" i="2"/>
  <c r="E1982" i="2"/>
  <c r="E792" i="2"/>
  <c r="E789" i="2"/>
  <c r="E791" i="2"/>
  <c r="E788" i="2"/>
  <c r="E790" i="2"/>
  <c r="E1248" i="2"/>
  <c r="E1245" i="2"/>
  <c r="E1247" i="2"/>
  <c r="E1244" i="2"/>
  <c r="E1246" i="2"/>
  <c r="E1213" i="2"/>
  <c r="E1209" i="2"/>
  <c r="E1211" i="2"/>
  <c r="E1178" i="2"/>
  <c r="E1175" i="2"/>
  <c r="E1177" i="2"/>
  <c r="E1174" i="2"/>
  <c r="E1176" i="2"/>
  <c r="E1143" i="2"/>
  <c r="E1139" i="2"/>
  <c r="E1141" i="2"/>
  <c r="E1072" i="2"/>
  <c r="E1069" i="2"/>
  <c r="E1071" i="2"/>
  <c r="E1068" i="2"/>
  <c r="E1070" i="2"/>
  <c r="E1037" i="2"/>
  <c r="E1033" i="2"/>
  <c r="E1035" i="2"/>
  <c r="E1002" i="2"/>
  <c r="E999" i="2"/>
  <c r="E1001" i="2"/>
  <c r="E998" i="2"/>
  <c r="E1000" i="2"/>
  <c r="E967" i="2"/>
  <c r="E963" i="2"/>
  <c r="E965" i="2"/>
  <c r="E932" i="2"/>
  <c r="E929" i="2"/>
  <c r="E931" i="2"/>
  <c r="E928" i="2"/>
  <c r="E930" i="2"/>
  <c r="E893" i="2"/>
  <c r="E895" i="2"/>
  <c r="G1490" i="2"/>
  <c r="G1283" i="2"/>
  <c r="G1282" i="2"/>
  <c r="G1281" i="2"/>
  <c r="G1279" i="2"/>
  <c r="G1453" i="2"/>
  <c r="F1984" i="2"/>
  <c r="G1984" i="2" s="1"/>
  <c r="F1878" i="2"/>
  <c r="G1878" i="2" s="1"/>
  <c r="F1808" i="2"/>
  <c r="G1808" i="2" s="1"/>
  <c r="F1632" i="2"/>
  <c r="G1632" i="2" s="1"/>
  <c r="F1213" i="2"/>
  <c r="G1213" i="2" s="1"/>
  <c r="F1143" i="2"/>
  <c r="G1143" i="2" s="1"/>
  <c r="F1037" i="2"/>
  <c r="G1037" i="2" s="1"/>
  <c r="F967" i="2"/>
  <c r="G967" i="2" s="1"/>
  <c r="F862" i="2"/>
  <c r="G862" i="2" s="1"/>
  <c r="F827" i="2"/>
  <c r="G827" i="2" s="1"/>
  <c r="F757" i="2"/>
  <c r="G757" i="2" s="1"/>
  <c r="F650" i="2"/>
  <c r="G650" i="2" s="1"/>
  <c r="F580" i="2"/>
  <c r="G580" i="2" s="1"/>
  <c r="E1597" i="2"/>
  <c r="E1593" i="2"/>
  <c r="E1595" i="2"/>
  <c r="E1594" i="2"/>
  <c r="E1596" i="2"/>
  <c r="E1491" i="2"/>
  <c r="E1487" i="2"/>
  <c r="E1489" i="2"/>
  <c r="E1488" i="2"/>
  <c r="E1490" i="2"/>
  <c r="E1421" i="2"/>
  <c r="E1417" i="2"/>
  <c r="E1419" i="2"/>
  <c r="E1418" i="2"/>
  <c r="E1420" i="2"/>
  <c r="G1418" i="2"/>
  <c r="G1594" i="2"/>
  <c r="E1842" i="2"/>
  <c r="E1840" i="2"/>
  <c r="E826" i="2"/>
  <c r="E824" i="2"/>
  <c r="E721" i="2"/>
  <c r="E719" i="2"/>
  <c r="E614" i="2"/>
  <c r="G1525" i="2"/>
  <c r="E476" i="2"/>
  <c r="E474" i="2"/>
  <c r="F2019" i="2"/>
  <c r="G2019" i="2" s="1"/>
  <c r="F1949" i="2"/>
  <c r="G1949" i="2" s="1"/>
  <c r="E1876" i="2"/>
  <c r="E1874" i="2"/>
  <c r="F1843" i="2"/>
  <c r="G1843" i="2" s="1"/>
  <c r="E1806" i="2"/>
  <c r="E1804" i="2"/>
  <c r="F1773" i="2"/>
  <c r="G1773" i="2" s="1"/>
  <c r="E1665" i="2"/>
  <c r="F1667" i="2"/>
  <c r="G1667" i="2" s="1"/>
  <c r="E1630" i="2"/>
  <c r="E1628" i="2"/>
  <c r="F1248" i="2"/>
  <c r="G1248" i="2" s="1"/>
  <c r="F1178" i="2"/>
  <c r="G1178" i="2" s="1"/>
  <c r="F1072" i="2"/>
  <c r="G1072" i="2" s="1"/>
  <c r="F1002" i="2"/>
  <c r="G1002" i="2" s="1"/>
  <c r="F932" i="2"/>
  <c r="G932" i="2" s="1"/>
  <c r="E823" i="2"/>
  <c r="F792" i="2"/>
  <c r="G792" i="2" s="1"/>
  <c r="E755" i="2"/>
  <c r="E753" i="2"/>
  <c r="F722" i="2"/>
  <c r="G722" i="2" s="1"/>
  <c r="E648" i="2"/>
  <c r="E646" i="2"/>
  <c r="E611" i="2"/>
  <c r="E578" i="2"/>
  <c r="E576" i="2"/>
  <c r="F513" i="2"/>
  <c r="G513" i="2" s="1"/>
  <c r="C1808" i="2"/>
  <c r="C1806" i="2"/>
  <c r="C1804" i="2"/>
  <c r="C1807" i="2"/>
  <c r="C1805" i="2"/>
  <c r="C1702" i="2"/>
  <c r="C1700" i="2"/>
  <c r="C1698" i="2"/>
  <c r="C1701" i="2"/>
  <c r="C1699" i="2"/>
  <c r="C1666" i="2"/>
  <c r="C1664" i="2"/>
  <c r="C1667" i="2"/>
  <c r="C1665" i="2"/>
  <c r="C1663" i="2"/>
  <c r="C1632" i="2"/>
  <c r="C1630" i="2"/>
  <c r="C1628" i="2"/>
  <c r="C1631" i="2"/>
  <c r="C1629" i="2"/>
  <c r="C791" i="2"/>
  <c r="C789" i="2"/>
  <c r="C792" i="2"/>
  <c r="C790" i="2"/>
  <c r="C788" i="2"/>
  <c r="C757" i="2"/>
  <c r="C755" i="2"/>
  <c r="C753" i="2"/>
  <c r="C756" i="2"/>
  <c r="C754" i="2"/>
  <c r="C721" i="2"/>
  <c r="C719" i="2"/>
  <c r="C722" i="2"/>
  <c r="C720" i="2"/>
  <c r="C718" i="2"/>
  <c r="C650" i="2"/>
  <c r="C648" i="2"/>
  <c r="C646" i="2"/>
  <c r="C649" i="2"/>
  <c r="C647" i="2"/>
  <c r="C614" i="2"/>
  <c r="C612" i="2"/>
  <c r="C615" i="2"/>
  <c r="C613" i="2"/>
  <c r="C611" i="2"/>
  <c r="C580" i="2"/>
  <c r="C578" i="2"/>
  <c r="C576" i="2"/>
  <c r="C579" i="2"/>
  <c r="C577" i="2"/>
  <c r="C478" i="2"/>
  <c r="C476" i="2"/>
  <c r="C474" i="2"/>
  <c r="C477" i="2"/>
  <c r="C475" i="2"/>
  <c r="C2018" i="2"/>
  <c r="C2016" i="2"/>
  <c r="C2019" i="2"/>
  <c r="C2017" i="2"/>
  <c r="C2015" i="2"/>
  <c r="C1948" i="2"/>
  <c r="C1946" i="2"/>
  <c r="C1949" i="2"/>
  <c r="C1947" i="2"/>
  <c r="C1945" i="2"/>
  <c r="C1490" i="2"/>
  <c r="C1488" i="2"/>
  <c r="C1491" i="2"/>
  <c r="C1489" i="2"/>
  <c r="C1487" i="2"/>
  <c r="C1247" i="2"/>
  <c r="C1245" i="2"/>
  <c r="C1248" i="2"/>
  <c r="C1246" i="2"/>
  <c r="C1244" i="2"/>
  <c r="C1213" i="2"/>
  <c r="C1211" i="2"/>
  <c r="C1209" i="2"/>
  <c r="C1212" i="2"/>
  <c r="C1210" i="2"/>
  <c r="C1177" i="2"/>
  <c r="C1175" i="2"/>
  <c r="C1178" i="2"/>
  <c r="C1176" i="2"/>
  <c r="C1174" i="2"/>
  <c r="C1143" i="2"/>
  <c r="C1141" i="2"/>
  <c r="C1139" i="2"/>
  <c r="C1142" i="2"/>
  <c r="C1140" i="2"/>
  <c r="C1072" i="2"/>
  <c r="C1070" i="2"/>
  <c r="C1068" i="2"/>
  <c r="C1071" i="2"/>
  <c r="C1069" i="2"/>
  <c r="C1036" i="2"/>
  <c r="C1034" i="2"/>
  <c r="C1037" i="2"/>
  <c r="C1035" i="2"/>
  <c r="C1033" i="2"/>
  <c r="C1002" i="2"/>
  <c r="C1000" i="2"/>
  <c r="C998" i="2"/>
  <c r="C1001" i="2"/>
  <c r="C999" i="2"/>
  <c r="C966" i="2"/>
  <c r="C964" i="2"/>
  <c r="C967" i="2"/>
  <c r="C965" i="2"/>
  <c r="C963" i="2"/>
  <c r="C932" i="2"/>
  <c r="C930" i="2"/>
  <c r="C928" i="2"/>
  <c r="C931" i="2"/>
  <c r="C929" i="2"/>
  <c r="C827" i="2"/>
  <c r="C825" i="2"/>
  <c r="C823" i="2"/>
  <c r="C826" i="2"/>
  <c r="C824" i="2"/>
  <c r="C512" i="2"/>
  <c r="C510" i="2"/>
  <c r="C513" i="2"/>
  <c r="C511" i="2"/>
  <c r="C509" i="2"/>
  <c r="C2054" i="2"/>
  <c r="C2052" i="2"/>
  <c r="C2050" i="2"/>
  <c r="C2053" i="2"/>
  <c r="C2051" i="2"/>
  <c r="C1984" i="2"/>
  <c r="C1982" i="2"/>
  <c r="C1980" i="2"/>
  <c r="C1983" i="2"/>
  <c r="C1981" i="2"/>
  <c r="C1526" i="2"/>
  <c r="C1524" i="2"/>
  <c r="C1522" i="2"/>
  <c r="C1525" i="2"/>
  <c r="C1523" i="2"/>
  <c r="C1456" i="2"/>
  <c r="C1454" i="2"/>
  <c r="C1452" i="2"/>
  <c r="C1455" i="2"/>
  <c r="C1453" i="2"/>
  <c r="C1878" i="2"/>
  <c r="C1876" i="2"/>
  <c r="C1874" i="2"/>
  <c r="C1877" i="2"/>
  <c r="C1875" i="2"/>
  <c r="C1842" i="2"/>
  <c r="C1840" i="2"/>
  <c r="C1843" i="2"/>
  <c r="C1841" i="2"/>
  <c r="C1839" i="2"/>
  <c r="C1596" i="2"/>
  <c r="C1594" i="2"/>
  <c r="C1597" i="2"/>
  <c r="C1595" i="2"/>
  <c r="C1593" i="2"/>
  <c r="C861" i="2"/>
  <c r="C859" i="2"/>
  <c r="C862" i="2"/>
  <c r="C860" i="2"/>
  <c r="C858" i="2"/>
  <c r="C1420" i="2"/>
  <c r="C1418" i="2"/>
  <c r="C1421" i="2"/>
  <c r="C1419" i="2"/>
  <c r="C1417" i="2"/>
  <c r="E1735" i="2"/>
  <c r="C1738" i="2"/>
  <c r="E403" i="2"/>
  <c r="C405" i="2"/>
  <c r="E686" i="2"/>
  <c r="E683" i="2"/>
  <c r="F1914" i="2"/>
  <c r="G1914" i="2" s="1"/>
  <c r="C402" i="2"/>
  <c r="C898" i="2"/>
  <c r="C1315" i="2"/>
  <c r="C1314" i="2"/>
  <c r="C1317" i="2"/>
  <c r="E404" i="2"/>
  <c r="E1914" i="2"/>
  <c r="E1738" i="2"/>
  <c r="C1319" i="2"/>
  <c r="C401" i="2"/>
  <c r="E1103" i="2"/>
  <c r="C404" i="2"/>
  <c r="C403" i="2"/>
  <c r="E401" i="2"/>
  <c r="E1557" i="2"/>
  <c r="E1389" i="2"/>
  <c r="E405" i="2"/>
  <c r="E402" i="2"/>
  <c r="E1107" i="2"/>
  <c r="F1738" i="2"/>
  <c r="G1737" i="2" s="1"/>
  <c r="E1909" i="2"/>
  <c r="E1910" i="2"/>
  <c r="E1353" i="2"/>
  <c r="E1352" i="2"/>
  <c r="E1355" i="2"/>
  <c r="F1562" i="2"/>
  <c r="G1561" i="2" s="1"/>
  <c r="E1350" i="2"/>
  <c r="E1351" i="2"/>
  <c r="F1389" i="2"/>
  <c r="G1388" i="2" s="1"/>
  <c r="C545" i="2"/>
  <c r="E1558" i="2"/>
  <c r="F1355" i="2"/>
  <c r="G1354" i="2" s="1"/>
  <c r="E1559" i="2"/>
  <c r="F1319" i="2"/>
  <c r="G1318" i="2" s="1"/>
  <c r="C1733" i="2"/>
  <c r="C1909" i="2"/>
  <c r="C1735" i="2"/>
  <c r="C1910" i="2"/>
  <c r="C546" i="2"/>
  <c r="F1108" i="2"/>
  <c r="G1107" i="2" s="1"/>
  <c r="C1562" i="2"/>
  <c r="C1559" i="2"/>
  <c r="C1557" i="2"/>
  <c r="C1558" i="2"/>
  <c r="C1355" i="2"/>
  <c r="C1353" i="2"/>
  <c r="C1350" i="2"/>
  <c r="E1316" i="2"/>
  <c r="E1314" i="2"/>
  <c r="E1315" i="2"/>
  <c r="F898" i="2"/>
  <c r="E1733" i="2"/>
  <c r="C1734" i="2"/>
  <c r="E1104" i="2"/>
  <c r="E546" i="2"/>
  <c r="E1912" i="2"/>
  <c r="E1734" i="2"/>
  <c r="E1911" i="2"/>
  <c r="E1736" i="2"/>
  <c r="C1316" i="2"/>
  <c r="F406" i="2"/>
  <c r="G406" i="2" s="1"/>
  <c r="F549" i="2"/>
  <c r="G549" i="2" s="1"/>
  <c r="F615" i="2"/>
  <c r="G615" i="2" s="1"/>
  <c r="C1108" i="2"/>
  <c r="C1106" i="2"/>
  <c r="C893" i="2"/>
  <c r="C1103" i="2"/>
  <c r="E545" i="2"/>
  <c r="E1387" i="2"/>
  <c r="C1104" i="2"/>
  <c r="C894" i="2"/>
  <c r="F686" i="2"/>
  <c r="G686" i="2" s="1"/>
  <c r="E898" i="2"/>
  <c r="C1911" i="2"/>
  <c r="E1384" i="2"/>
  <c r="C1386" i="2"/>
  <c r="C1389" i="2"/>
  <c r="C1384" i="2"/>
  <c r="E1319" i="2"/>
  <c r="E1317" i="2"/>
  <c r="C1912" i="2"/>
  <c r="C1736" i="2"/>
  <c r="C1560" i="2"/>
  <c r="E1386" i="2"/>
  <c r="C1352" i="2"/>
  <c r="E1106" i="2"/>
  <c r="C895" i="2"/>
  <c r="E548" i="2"/>
  <c r="E544" i="2"/>
  <c r="C547" i="2"/>
  <c r="C1385" i="2"/>
  <c r="C1105" i="2"/>
  <c r="E547" i="2"/>
  <c r="C548" i="2"/>
  <c r="C544" i="2"/>
  <c r="E1385" i="2"/>
  <c r="C896" i="2"/>
  <c r="C1351" i="2"/>
  <c r="E1105" i="2"/>
  <c r="C686" i="2"/>
  <c r="C683" i="2"/>
  <c r="C685" i="2"/>
  <c r="C684" i="2"/>
  <c r="E685" i="2"/>
  <c r="E681" i="2"/>
  <c r="C682" i="2"/>
  <c r="E684" i="2"/>
  <c r="C681" i="2"/>
  <c r="G1770" i="2" l="1"/>
  <c r="G1771" i="2"/>
  <c r="G1772" i="2"/>
  <c r="G1769" i="2"/>
  <c r="G1699" i="2"/>
  <c r="G1698" i="2"/>
  <c r="G1702" i="2"/>
  <c r="G1701" i="2"/>
  <c r="G1700" i="2"/>
  <c r="G1805" i="2"/>
  <c r="G1913" i="2"/>
  <c r="G1212" i="2"/>
  <c r="G825" i="2"/>
  <c r="G647" i="2"/>
  <c r="G1140" i="2"/>
  <c r="G1629" i="2"/>
  <c r="G1877" i="2"/>
  <c r="G964" i="2"/>
  <c r="G475" i="2"/>
  <c r="G754" i="2"/>
  <c r="G1036" i="2"/>
  <c r="G1210" i="2"/>
  <c r="G476" i="2"/>
  <c r="G1209" i="2"/>
  <c r="G579" i="2"/>
  <c r="G861" i="2"/>
  <c r="G1034" i="2"/>
  <c r="G2051" i="2"/>
  <c r="G718" i="2"/>
  <c r="G720" i="2"/>
  <c r="G928" i="2"/>
  <c r="G930" i="2"/>
  <c r="G1068" i="2"/>
  <c r="G1070" i="2"/>
  <c r="G1244" i="2"/>
  <c r="G1246" i="2"/>
  <c r="G1033" i="2"/>
  <c r="G1035" i="2"/>
  <c r="G1211" i="2"/>
  <c r="G612" i="2"/>
  <c r="G1946" i="2"/>
  <c r="G1945" i="2"/>
  <c r="G1947" i="2"/>
  <c r="G649" i="2"/>
  <c r="G859" i="2"/>
  <c r="G1875" i="2"/>
  <c r="G1981" i="2"/>
  <c r="G2053" i="2"/>
  <c r="G477" i="2"/>
  <c r="G613" i="2"/>
  <c r="G646" i="2"/>
  <c r="G648" i="2"/>
  <c r="G1874" i="2"/>
  <c r="G1876" i="2"/>
  <c r="G2052" i="2"/>
  <c r="G1948" i="2"/>
  <c r="G2050" i="2"/>
  <c r="G474" i="2"/>
  <c r="G826" i="2"/>
  <c r="G719" i="2"/>
  <c r="G823" i="2"/>
  <c r="G858" i="2"/>
  <c r="G860" i="2"/>
  <c r="G721" i="2"/>
  <c r="G824" i="2"/>
  <c r="G511" i="2"/>
  <c r="G1664" i="2"/>
  <c r="G1665" i="2"/>
  <c r="G1001" i="2"/>
  <c r="G1177" i="2"/>
  <c r="G999" i="2"/>
  <c r="G1175" i="2"/>
  <c r="G509" i="2"/>
  <c r="G510" i="2"/>
  <c r="G512" i="2"/>
  <c r="G788" i="2"/>
  <c r="G790" i="2"/>
  <c r="G998" i="2"/>
  <c r="G1000" i="2"/>
  <c r="G1174" i="2"/>
  <c r="G1176" i="2"/>
  <c r="G1663" i="2"/>
  <c r="G1839" i="2"/>
  <c r="G1841" i="2"/>
  <c r="G2015" i="2"/>
  <c r="G2017" i="2"/>
  <c r="G577" i="2"/>
  <c r="G756" i="2"/>
  <c r="G966" i="2"/>
  <c r="G1142" i="2"/>
  <c r="G1631" i="2"/>
  <c r="G1666" i="2"/>
  <c r="G1807" i="2"/>
  <c r="G1983" i="2"/>
  <c r="G611" i="2"/>
  <c r="G576" i="2"/>
  <c r="G578" i="2"/>
  <c r="G753" i="2"/>
  <c r="G755" i="2"/>
  <c r="G963" i="2"/>
  <c r="G965" i="2"/>
  <c r="G1139" i="2"/>
  <c r="G1141" i="2"/>
  <c r="G1628" i="2"/>
  <c r="G1630" i="2"/>
  <c r="G1804" i="2"/>
  <c r="G1806" i="2"/>
  <c r="G1980" i="2"/>
  <c r="G1982" i="2"/>
  <c r="G791" i="2"/>
  <c r="G931" i="2"/>
  <c r="G1071" i="2"/>
  <c r="G1247" i="2"/>
  <c r="G1842" i="2"/>
  <c r="G2018" i="2"/>
  <c r="G614" i="2"/>
  <c r="G789" i="2"/>
  <c r="G929" i="2"/>
  <c r="G1069" i="2"/>
  <c r="G1245" i="2"/>
  <c r="G1840" i="2"/>
  <c r="G2016" i="2"/>
  <c r="G896" i="2"/>
  <c r="G897" i="2"/>
  <c r="G893" i="2"/>
  <c r="G895" i="2"/>
  <c r="G894" i="2"/>
  <c r="G1389" i="2"/>
  <c r="G1738" i="2"/>
  <c r="G1562" i="2"/>
  <c r="G898" i="2"/>
  <c r="G547" i="2"/>
  <c r="G1108" i="2"/>
  <c r="G1351" i="2"/>
  <c r="G402" i="2"/>
  <c r="G1355" i="2"/>
  <c r="G1734" i="2"/>
  <c r="G1558" i="2"/>
  <c r="G1319" i="2"/>
  <c r="G1910" i="2"/>
  <c r="G1315" i="2"/>
  <c r="G1317" i="2"/>
  <c r="G1385" i="2"/>
  <c r="G1314" i="2"/>
  <c r="G1103" i="2"/>
  <c r="G1104" i="2"/>
  <c r="G1912" i="2"/>
  <c r="G1735" i="2"/>
  <c r="G1386" i="2"/>
  <c r="G548" i="2"/>
  <c r="G405" i="2"/>
  <c r="G1909" i="2"/>
  <c r="G1733" i="2"/>
  <c r="G1560" i="2"/>
  <c r="G1384" i="2"/>
  <c r="G1353" i="2"/>
  <c r="G1106" i="2"/>
  <c r="G545" i="2"/>
  <c r="G404" i="2"/>
  <c r="G1911" i="2"/>
  <c r="G1736" i="2"/>
  <c r="G1557" i="2"/>
  <c r="G1559" i="2"/>
  <c r="G1387" i="2"/>
  <c r="G1350" i="2"/>
  <c r="G1352" i="2"/>
  <c r="G1316" i="2"/>
  <c r="G1105" i="2"/>
  <c r="G544" i="2"/>
  <c r="G546" i="2"/>
  <c r="G401" i="2"/>
  <c r="G403" i="2"/>
  <c r="G682" i="2"/>
  <c r="G683" i="2"/>
  <c r="G684" i="2"/>
  <c r="G681" i="2"/>
  <c r="G685" i="2"/>
  <c r="B44" i="2" l="1"/>
  <c r="C44" i="2"/>
  <c r="C28" i="2"/>
  <c r="D2" i="2"/>
  <c r="D3" i="2"/>
  <c r="D4" i="2"/>
  <c r="D5" i="2"/>
  <c r="D6" i="2"/>
  <c r="D7" i="2"/>
  <c r="D8" i="2"/>
  <c r="D9" i="2"/>
  <c r="D10" i="2"/>
  <c r="D11" i="2"/>
  <c r="D12" i="2"/>
  <c r="D13" i="2"/>
  <c r="B25" i="2"/>
  <c r="C25" i="2"/>
  <c r="B26" i="2"/>
  <c r="C26" i="2"/>
  <c r="B29" i="2"/>
  <c r="C29" i="2"/>
  <c r="C31" i="2"/>
  <c r="C32" i="2"/>
  <c r="B33" i="2"/>
  <c r="C33" i="2"/>
  <c r="B34" i="2"/>
  <c r="C34" i="2"/>
  <c r="B36" i="2"/>
  <c r="C36" i="2"/>
  <c r="B41" i="2"/>
  <c r="C41" i="2"/>
  <c r="B42" i="2"/>
  <c r="C42" i="2"/>
  <c r="B45" i="2"/>
  <c r="C45" i="2"/>
  <c r="B47" i="2"/>
  <c r="C47" i="2"/>
  <c r="B48" i="2"/>
  <c r="C48" i="2"/>
  <c r="B49" i="2"/>
  <c r="C49" i="2"/>
  <c r="B50" i="2"/>
  <c r="C50" i="2"/>
  <c r="B51" i="2"/>
  <c r="C51" i="2"/>
  <c r="B52" i="2"/>
  <c r="C52" i="2"/>
  <c r="L53" i="2" l="1"/>
  <c r="K53" i="2"/>
  <c r="K37" i="2"/>
  <c r="L37" i="2"/>
  <c r="J40" i="2"/>
  <c r="J56" i="2" s="1"/>
  <c r="I40" i="2"/>
  <c r="I56" i="2" s="1"/>
  <c r="H40" i="2"/>
  <c r="H56" i="2" s="1"/>
  <c r="I69" i="2" l="1"/>
  <c r="I38" i="2"/>
  <c r="H54" i="2"/>
  <c r="H38" i="2"/>
  <c r="I54" i="2"/>
  <c r="H58" i="2"/>
  <c r="H59" i="2"/>
  <c r="H60" i="2"/>
  <c r="H61" i="2"/>
  <c r="H62" i="2"/>
  <c r="H63" i="2"/>
  <c r="H64" i="2"/>
  <c r="H65" i="2"/>
  <c r="H66" i="2"/>
  <c r="H67" i="2"/>
  <c r="H69" i="2"/>
  <c r="I68" i="2"/>
  <c r="I58" i="2"/>
  <c r="I59" i="2"/>
  <c r="I60" i="2"/>
  <c r="I61" i="2"/>
  <c r="I62" i="2"/>
  <c r="I63" i="2"/>
  <c r="I64" i="2"/>
  <c r="I65" i="2"/>
  <c r="I66" i="2"/>
  <c r="H68" i="2"/>
  <c r="I67" i="2"/>
  <c r="H57" i="2"/>
  <c r="I57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29" i="2"/>
  <c r="J30" i="2"/>
  <c r="J31" i="2"/>
  <c r="J32" i="2"/>
  <c r="J33" i="2"/>
  <c r="J34" i="2"/>
  <c r="J35" i="2"/>
  <c r="J36" i="2"/>
  <c r="J37" i="2"/>
  <c r="J28" i="2"/>
  <c r="J27" i="2"/>
  <c r="J26" i="2"/>
  <c r="J25" i="2"/>
  <c r="J68" i="2" l="1"/>
  <c r="J69" i="2"/>
  <c r="J57" i="2"/>
  <c r="H70" i="2"/>
  <c r="J67" i="2"/>
  <c r="J65" i="2"/>
  <c r="J63" i="2"/>
  <c r="J61" i="2"/>
  <c r="J59" i="2"/>
  <c r="J54" i="2"/>
  <c r="I70" i="2"/>
  <c r="J66" i="2"/>
  <c r="J64" i="2"/>
  <c r="J62" i="2"/>
  <c r="J60" i="2"/>
  <c r="J58" i="2"/>
  <c r="J38" i="2"/>
  <c r="J70" i="2" l="1"/>
  <c r="L44" i="2" l="1"/>
  <c r="L31" i="2"/>
  <c r="L30" i="2"/>
  <c r="L29" i="2"/>
  <c r="L28" i="2"/>
  <c r="F440" i="2" l="1"/>
  <c r="F439" i="2"/>
  <c r="B443" i="2"/>
  <c r="D443" i="2"/>
  <c r="F184" i="2" l="1"/>
  <c r="F220" i="2"/>
  <c r="F293" i="2"/>
  <c r="F329" i="2"/>
  <c r="F365" i="2"/>
  <c r="E443" i="2"/>
  <c r="E441" i="2"/>
  <c r="E442" i="2"/>
  <c r="E439" i="2"/>
  <c r="E440" i="2"/>
  <c r="F185" i="2"/>
  <c r="F221" i="2"/>
  <c r="F294" i="2"/>
  <c r="F330" i="2"/>
  <c r="F366" i="2"/>
  <c r="F443" i="2"/>
  <c r="G440" i="2" s="1"/>
  <c r="C442" i="2"/>
  <c r="C440" i="2"/>
  <c r="C443" i="2"/>
  <c r="C441" i="2"/>
  <c r="C439" i="2"/>
  <c r="B188" i="2"/>
  <c r="B224" i="2"/>
  <c r="D224" i="2"/>
  <c r="D261" i="2"/>
  <c r="D297" i="2"/>
  <c r="B333" i="2"/>
  <c r="D333" i="2"/>
  <c r="B369" i="2"/>
  <c r="D369" i="2"/>
  <c r="D188" i="2"/>
  <c r="B261" i="2"/>
  <c r="B297" i="2"/>
  <c r="F256" i="2"/>
  <c r="F259" i="2"/>
  <c r="F257" i="2"/>
  <c r="F258" i="2"/>
  <c r="C69" i="2"/>
  <c r="L69" i="2" s="1"/>
  <c r="B69" i="2"/>
  <c r="K69" i="2" s="1"/>
  <c r="K44" i="2"/>
  <c r="G42" i="2"/>
  <c r="L42" i="2"/>
  <c r="L43" i="2"/>
  <c r="L45" i="2"/>
  <c r="L46" i="2"/>
  <c r="L47" i="2"/>
  <c r="L48" i="2"/>
  <c r="L49" i="2"/>
  <c r="L50" i="2"/>
  <c r="L51" i="2"/>
  <c r="L52" i="2"/>
  <c r="L41" i="2"/>
  <c r="K43" i="2"/>
  <c r="K47" i="2"/>
  <c r="K48" i="2"/>
  <c r="K49" i="2"/>
  <c r="K50" i="2"/>
  <c r="K51" i="2"/>
  <c r="K52" i="2"/>
  <c r="K41" i="2"/>
  <c r="D53" i="2"/>
  <c r="M53" i="2" s="1"/>
  <c r="K31" i="2"/>
  <c r="K30" i="2"/>
  <c r="K29" i="2"/>
  <c r="K28" i="2"/>
  <c r="F61" i="2"/>
  <c r="F63" i="2"/>
  <c r="F65" i="2"/>
  <c r="F67" i="2"/>
  <c r="F69" i="2"/>
  <c r="L26" i="2"/>
  <c r="L27" i="2"/>
  <c r="L32" i="2"/>
  <c r="L33" i="2"/>
  <c r="L34" i="2"/>
  <c r="L35" i="2"/>
  <c r="L36" i="2"/>
  <c r="K27" i="2"/>
  <c r="D28" i="2"/>
  <c r="K33" i="2"/>
  <c r="K34" i="2"/>
  <c r="K35" i="2"/>
  <c r="C14" i="2"/>
  <c r="E14" i="2"/>
  <c r="F14" i="2"/>
  <c r="G3" i="2"/>
  <c r="G4" i="2"/>
  <c r="G5" i="2"/>
  <c r="G6" i="2"/>
  <c r="G7" i="2"/>
  <c r="G8" i="2"/>
  <c r="G9" i="2"/>
  <c r="G10" i="2"/>
  <c r="G11" i="2"/>
  <c r="G12" i="2"/>
  <c r="G13" i="2"/>
  <c r="G2" i="2"/>
  <c r="B14" i="2"/>
  <c r="E188" i="2" l="1"/>
  <c r="E184" i="2"/>
  <c r="E185" i="2"/>
  <c r="E186" i="2"/>
  <c r="E187" i="2"/>
  <c r="F149" i="2"/>
  <c r="E369" i="2"/>
  <c r="E367" i="2"/>
  <c r="E368" i="2"/>
  <c r="E333" i="2"/>
  <c r="E331" i="2"/>
  <c r="E332" i="2"/>
  <c r="E297" i="2"/>
  <c r="E296" i="2"/>
  <c r="E295" i="2"/>
  <c r="E224" i="2"/>
  <c r="E222" i="2"/>
  <c r="E223" i="2"/>
  <c r="G443" i="2"/>
  <c r="G442" i="2"/>
  <c r="G441" i="2"/>
  <c r="E366" i="2"/>
  <c r="E294" i="2"/>
  <c r="F369" i="2"/>
  <c r="G365" i="2" s="1"/>
  <c r="E329" i="2"/>
  <c r="F297" i="2"/>
  <c r="E220" i="2"/>
  <c r="F188" i="2"/>
  <c r="G184" i="2" s="1"/>
  <c r="F148" i="2"/>
  <c r="G439" i="2"/>
  <c r="E330" i="2"/>
  <c r="E221" i="2"/>
  <c r="E365" i="2"/>
  <c r="F333" i="2"/>
  <c r="G330" i="2" s="1"/>
  <c r="E293" i="2"/>
  <c r="F224" i="2"/>
  <c r="C297" i="2"/>
  <c r="C295" i="2"/>
  <c r="C293" i="2"/>
  <c r="C296" i="2"/>
  <c r="C294" i="2"/>
  <c r="C188" i="2"/>
  <c r="C186" i="2"/>
  <c r="C184" i="2"/>
  <c r="C187" i="2"/>
  <c r="C185" i="2"/>
  <c r="C369" i="2"/>
  <c r="C367" i="2"/>
  <c r="C365" i="2"/>
  <c r="C368" i="2"/>
  <c r="C366" i="2"/>
  <c r="C332" i="2"/>
  <c r="C330" i="2"/>
  <c r="C333" i="2"/>
  <c r="C331" i="2"/>
  <c r="C329" i="2"/>
  <c r="C223" i="2"/>
  <c r="C221" i="2"/>
  <c r="C224" i="2"/>
  <c r="C222" i="2"/>
  <c r="C220" i="2"/>
  <c r="D152" i="2"/>
  <c r="B152" i="2"/>
  <c r="B80" i="2"/>
  <c r="C79" i="2" s="1"/>
  <c r="B116" i="2"/>
  <c r="C115" i="2" s="1"/>
  <c r="D80" i="2"/>
  <c r="E79" i="2" s="1"/>
  <c r="D116" i="2"/>
  <c r="F261" i="2"/>
  <c r="E260" i="2"/>
  <c r="C256" i="2"/>
  <c r="C260" i="2"/>
  <c r="C257" i="2"/>
  <c r="E261" i="2"/>
  <c r="E259" i="2"/>
  <c r="E258" i="2"/>
  <c r="E257" i="2"/>
  <c r="C261" i="2"/>
  <c r="C259" i="2"/>
  <c r="E256" i="2"/>
  <c r="C258" i="2"/>
  <c r="K46" i="2"/>
  <c r="K45" i="2"/>
  <c r="K42" i="2"/>
  <c r="L25" i="2"/>
  <c r="B57" i="2"/>
  <c r="K25" i="2"/>
  <c r="D26" i="2"/>
  <c r="K26" i="2"/>
  <c r="D36" i="2"/>
  <c r="K36" i="2"/>
  <c r="D32" i="2"/>
  <c r="K32" i="2"/>
  <c r="D69" i="2"/>
  <c r="M69" i="2" s="1"/>
  <c r="D34" i="2"/>
  <c r="C57" i="2"/>
  <c r="C67" i="2"/>
  <c r="L67" i="2" s="1"/>
  <c r="C65" i="2"/>
  <c r="L65" i="2" s="1"/>
  <c r="C63" i="2"/>
  <c r="L63" i="2" s="1"/>
  <c r="C61" i="2"/>
  <c r="L61" i="2" s="1"/>
  <c r="C59" i="2"/>
  <c r="C38" i="2"/>
  <c r="B68" i="2"/>
  <c r="B66" i="2"/>
  <c r="B64" i="2"/>
  <c r="B62" i="2"/>
  <c r="B60" i="2"/>
  <c r="B58" i="2"/>
  <c r="E60" i="2"/>
  <c r="E62" i="2"/>
  <c r="E64" i="2"/>
  <c r="E66" i="2"/>
  <c r="E68" i="2"/>
  <c r="F60" i="2"/>
  <c r="F58" i="2"/>
  <c r="B67" i="2"/>
  <c r="B65" i="2"/>
  <c r="B63" i="2"/>
  <c r="B61" i="2"/>
  <c r="B59" i="2"/>
  <c r="C68" i="2"/>
  <c r="C66" i="2"/>
  <c r="C64" i="2"/>
  <c r="C62" i="2"/>
  <c r="C60" i="2"/>
  <c r="C58" i="2"/>
  <c r="F75" i="2"/>
  <c r="F77" i="2"/>
  <c r="F62" i="2"/>
  <c r="F64" i="2"/>
  <c r="F66" i="2"/>
  <c r="F68" i="2"/>
  <c r="D25" i="2"/>
  <c r="B54" i="2"/>
  <c r="E57" i="2"/>
  <c r="E59" i="2"/>
  <c r="E61" i="2"/>
  <c r="E63" i="2"/>
  <c r="E65" i="2"/>
  <c r="E67" i="2"/>
  <c r="G67" i="2" s="1"/>
  <c r="E69" i="2"/>
  <c r="G69" i="2" s="1"/>
  <c r="F59" i="2"/>
  <c r="F76" i="2"/>
  <c r="F78" i="2"/>
  <c r="D14" i="2"/>
  <c r="F57" i="2"/>
  <c r="E58" i="2"/>
  <c r="F111" i="2"/>
  <c r="F113" i="2"/>
  <c r="F114" i="2"/>
  <c r="F112" i="2"/>
  <c r="G53" i="2"/>
  <c r="G52" i="2"/>
  <c r="G51" i="2"/>
  <c r="G50" i="2"/>
  <c r="G49" i="2"/>
  <c r="G48" i="2"/>
  <c r="G47" i="2"/>
  <c r="G46" i="2"/>
  <c r="G45" i="2"/>
  <c r="G44" i="2"/>
  <c r="G43" i="2"/>
  <c r="F54" i="2"/>
  <c r="G41" i="2"/>
  <c r="D41" i="2"/>
  <c r="D43" i="2"/>
  <c r="D45" i="2"/>
  <c r="D47" i="2"/>
  <c r="D49" i="2"/>
  <c r="D51" i="2"/>
  <c r="C54" i="2"/>
  <c r="E54" i="2"/>
  <c r="D42" i="2"/>
  <c r="M42" i="2" s="1"/>
  <c r="D44" i="2"/>
  <c r="D48" i="2"/>
  <c r="D50" i="2"/>
  <c r="D52" i="2"/>
  <c r="G28" i="2"/>
  <c r="M28" i="2" s="1"/>
  <c r="G30" i="2"/>
  <c r="M30" i="2" s="1"/>
  <c r="G32" i="2"/>
  <c r="G14" i="2"/>
  <c r="G27" i="2"/>
  <c r="G29" i="2"/>
  <c r="G31" i="2"/>
  <c r="G33" i="2"/>
  <c r="G35" i="2"/>
  <c r="G36" i="2"/>
  <c r="G34" i="2"/>
  <c r="G37" i="2"/>
  <c r="G26" i="2"/>
  <c r="F38" i="2"/>
  <c r="G25" i="2"/>
  <c r="E38" i="2"/>
  <c r="D37" i="2"/>
  <c r="M37" i="2" s="1"/>
  <c r="D35" i="2"/>
  <c r="D33" i="2"/>
  <c r="D31" i="2"/>
  <c r="D29" i="2"/>
  <c r="D27" i="2"/>
  <c r="B38" i="2"/>
  <c r="K61" i="2" l="1"/>
  <c r="K59" i="2"/>
  <c r="K62" i="2"/>
  <c r="K65" i="2"/>
  <c r="M51" i="2"/>
  <c r="M46" i="2"/>
  <c r="M47" i="2"/>
  <c r="G366" i="2"/>
  <c r="M50" i="2"/>
  <c r="K66" i="2"/>
  <c r="K60" i="2"/>
  <c r="K64" i="2"/>
  <c r="K63" i="2"/>
  <c r="K58" i="2"/>
  <c r="G65" i="2"/>
  <c r="G185" i="2"/>
  <c r="G329" i="2"/>
  <c r="E152" i="2"/>
  <c r="E150" i="2"/>
  <c r="E151" i="2"/>
  <c r="G224" i="2"/>
  <c r="G223" i="2"/>
  <c r="G222" i="2"/>
  <c r="E148" i="2"/>
  <c r="G297" i="2"/>
  <c r="G296" i="2"/>
  <c r="G295" i="2"/>
  <c r="G221" i="2"/>
  <c r="G220" i="2"/>
  <c r="G333" i="2"/>
  <c r="G331" i="2"/>
  <c r="G332" i="2"/>
  <c r="G294" i="2"/>
  <c r="F152" i="2"/>
  <c r="G188" i="2"/>
  <c r="G186" i="2"/>
  <c r="G187" i="2"/>
  <c r="G293" i="2"/>
  <c r="G369" i="2"/>
  <c r="G367" i="2"/>
  <c r="G368" i="2"/>
  <c r="E149" i="2"/>
  <c r="C151" i="2"/>
  <c r="C149" i="2"/>
  <c r="C152" i="2"/>
  <c r="C150" i="2"/>
  <c r="C148" i="2"/>
  <c r="G63" i="2"/>
  <c r="G61" i="2"/>
  <c r="F116" i="2"/>
  <c r="F80" i="2"/>
  <c r="G79" i="2" s="1"/>
  <c r="K57" i="2"/>
  <c r="D57" i="2"/>
  <c r="G261" i="2"/>
  <c r="G260" i="2"/>
  <c r="E113" i="2"/>
  <c r="E115" i="2"/>
  <c r="G257" i="2"/>
  <c r="G259" i="2"/>
  <c r="C116" i="2"/>
  <c r="C114" i="2"/>
  <c r="C113" i="2"/>
  <c r="C112" i="2"/>
  <c r="E116" i="2"/>
  <c r="E114" i="2"/>
  <c r="G256" i="2"/>
  <c r="E111" i="2"/>
  <c r="G258" i="2"/>
  <c r="E112" i="2"/>
  <c r="C111" i="2"/>
  <c r="L59" i="2"/>
  <c r="L64" i="2"/>
  <c r="L57" i="2"/>
  <c r="L66" i="2"/>
  <c r="L62" i="2"/>
  <c r="L58" i="2"/>
  <c r="L60" i="2"/>
  <c r="L68" i="2"/>
  <c r="M35" i="2"/>
  <c r="M52" i="2"/>
  <c r="K67" i="2"/>
  <c r="K68" i="2"/>
  <c r="M36" i="2"/>
  <c r="L54" i="2"/>
  <c r="M43" i="2"/>
  <c r="K38" i="2"/>
  <c r="M29" i="2"/>
  <c r="M33" i="2"/>
  <c r="M49" i="2"/>
  <c r="M45" i="2"/>
  <c r="M41" i="2"/>
  <c r="K54" i="2"/>
  <c r="L38" i="2"/>
  <c r="M27" i="2"/>
  <c r="M31" i="2"/>
  <c r="M48" i="2"/>
  <c r="M44" i="2"/>
  <c r="M25" i="2"/>
  <c r="M34" i="2"/>
  <c r="M32" i="2"/>
  <c r="M26" i="2"/>
  <c r="E76" i="2"/>
  <c r="D64" i="2"/>
  <c r="D65" i="2"/>
  <c r="D68" i="2"/>
  <c r="D60" i="2"/>
  <c r="C70" i="2"/>
  <c r="D61" i="2"/>
  <c r="E70" i="2"/>
  <c r="G68" i="2"/>
  <c r="G64" i="2"/>
  <c r="D59" i="2"/>
  <c r="G60" i="2"/>
  <c r="D66" i="2"/>
  <c r="D62" i="2"/>
  <c r="D58" i="2"/>
  <c r="D67" i="2"/>
  <c r="M67" i="2" s="1"/>
  <c r="D63" i="2"/>
  <c r="G66" i="2"/>
  <c r="G62" i="2"/>
  <c r="G59" i="2"/>
  <c r="B70" i="2"/>
  <c r="C78" i="2"/>
  <c r="C80" i="2"/>
  <c r="G58" i="2"/>
  <c r="C77" i="2"/>
  <c r="E80" i="2"/>
  <c r="E77" i="2"/>
  <c r="E75" i="2"/>
  <c r="E78" i="2"/>
  <c r="G57" i="2"/>
  <c r="F70" i="2"/>
  <c r="C76" i="2"/>
  <c r="C75" i="2"/>
  <c r="G54" i="2"/>
  <c r="D54" i="2"/>
  <c r="G38" i="2"/>
  <c r="D38" i="2"/>
  <c r="M63" i="2" l="1"/>
  <c r="M65" i="2"/>
  <c r="M61" i="2"/>
  <c r="M60" i="2"/>
  <c r="G152" i="2"/>
  <c r="G151" i="2"/>
  <c r="G150" i="2"/>
  <c r="G149" i="2"/>
  <c r="G148" i="2"/>
  <c r="M57" i="2"/>
  <c r="M58" i="2"/>
  <c r="M59" i="2"/>
  <c r="G116" i="2"/>
  <c r="G115" i="2"/>
  <c r="M62" i="2"/>
  <c r="G111" i="2"/>
  <c r="G113" i="2"/>
  <c r="G114" i="2"/>
  <c r="G112" i="2"/>
  <c r="M64" i="2"/>
  <c r="M66" i="2"/>
  <c r="M68" i="2"/>
  <c r="L70" i="2"/>
  <c r="K70" i="2"/>
  <c r="M54" i="2"/>
  <c r="M38" i="2"/>
  <c r="G80" i="2"/>
  <c r="G75" i="2"/>
  <c r="G77" i="2"/>
  <c r="G78" i="2"/>
  <c r="G76" i="2"/>
  <c r="D70" i="2"/>
  <c r="G70" i="2"/>
  <c r="M70" i="2" l="1"/>
</calcChain>
</file>

<file path=xl/sharedStrings.xml><?xml version="1.0" encoding="utf-8"?>
<sst xmlns="http://schemas.openxmlformats.org/spreadsheetml/2006/main" count="18204" uniqueCount="7270">
  <si>
    <t>Mail (M) or Internet (I)</t>
  </si>
  <si>
    <t>Status</t>
  </si>
  <si>
    <t>Date sent out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</si>
  <si>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</si>
  <si>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</si>
  <si>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</si>
  <si>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</si>
  <si>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</si>
  <si>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</si>
  <si>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</si>
  <si>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</si>
  <si>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</si>
  <si>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</si>
  <si>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</si>
  <si>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</si>
  <si>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Surveys sent by Month</t>
  </si>
  <si>
    <t>Total</t>
  </si>
  <si>
    <t>RESPONSE RATE</t>
  </si>
  <si>
    <t>NA</t>
  </si>
  <si>
    <t>Surveys Mailed</t>
  </si>
  <si>
    <t>Surveys Received Mail</t>
  </si>
  <si>
    <t>Surveys Received E-mail</t>
  </si>
  <si>
    <t>Total Surveys</t>
  </si>
  <si>
    <t>Total Surveys Received</t>
  </si>
  <si>
    <t>Return Rate Surveys Mailed</t>
  </si>
  <si>
    <t>Total Return Rate</t>
  </si>
  <si>
    <t>Return Rate Surveys    E-mailed</t>
  </si>
  <si>
    <t>Closed Successfully 26-0</t>
  </si>
  <si>
    <t>26-0 Mailed</t>
  </si>
  <si>
    <t>26-0 Total</t>
  </si>
  <si>
    <t>28-0 Mailed</t>
  </si>
  <si>
    <t>28-0 Total</t>
  </si>
  <si>
    <t>26-0           E-mailed</t>
  </si>
  <si>
    <t>28-0           E-mailed</t>
  </si>
  <si>
    <t>Surveys     E-mailed</t>
  </si>
  <si>
    <t>Closed Unsuccessfully 28-0</t>
  </si>
  <si>
    <t>Closed Successfully 26-0 and Unsuccessfully 28-0</t>
  </si>
  <si>
    <t>Count</t>
  </si>
  <si>
    <t>% within Status</t>
  </si>
  <si>
    <t>Not Answered</t>
  </si>
  <si>
    <t>Case Number</t>
  </si>
  <si>
    <t>Area Office</t>
  </si>
  <si>
    <t>Counselor</t>
  </si>
  <si>
    <t>E-Mail</t>
  </si>
  <si>
    <t>Deceased (U)                             Delivered (D)                              Undelivered (U)</t>
  </si>
  <si>
    <t>Total Surveys Undelivered</t>
  </si>
  <si>
    <t>Surveys Undelivered Mail</t>
  </si>
  <si>
    <t>Surveys Undelivered E-mail</t>
  </si>
  <si>
    <t>1. I am satisfied with the way my counselor related to me? (1-True, 2-Mostly True, 3-Mostly Untrue, 4-Untrue)</t>
  </si>
  <si>
    <t>2. My counselor took my concerns seriously? (1-True, 2-Mostly True, 3-Mostly Untrue, 4-Untrue)</t>
  </si>
  <si>
    <t>2a. My counselor took the time to listin to my concerns? (1-True, 2-False, 3-Not Applicable)</t>
  </si>
  <si>
    <t>2b. My counselor took my opinion into consideration and responded appropriately? (1-True, 2-False, 3-NA)</t>
  </si>
  <si>
    <t>2c. My counselor was open to me expressing my complaints? (1-True, 2-False, 3-NA)</t>
  </si>
  <si>
    <t>3. My counselor understood my needs (1-True, 2-MostlyTrue, 3-Mostly Untrue, 4-Untrue)</t>
  </si>
  <si>
    <t>3a. My counselor gave me useful advise? (1-True, 2-False, 3-NA)</t>
  </si>
  <si>
    <t>3b. My counselor helped me find resources in the community? (1-True, 2-False, 3-NA)</t>
  </si>
  <si>
    <t>3c. My counselor helped me challenge my expectations of myself? (1-True, 2-Untrue, 3-NA)</t>
  </si>
  <si>
    <t>4. My counselor treated me with respect? (1-True, 2-Mostly True, 3-Mostly Untrue, 4-Untrue)</t>
  </si>
  <si>
    <t>4a. My counselor was timely when responding to me? (1-True, 2-False, 3-NA)</t>
  </si>
  <si>
    <t>4b. My counselor acted in my best interest? (1-True, 2-False, 3-NA)</t>
  </si>
  <si>
    <t>4c. My counselor respected my culture? (1-True, 2-False, 3-NA)</t>
  </si>
  <si>
    <t>5. My counselor involved me in decision-making? (1-True, 2-Mostly True, 3-Mostly Untrue, 4-Untrue)</t>
  </si>
  <si>
    <t>5a. My counselor helped me focus on employment? (1-True, 2-False, 3-NA)</t>
  </si>
  <si>
    <t>5b. My counselor helped me explore my options? (1-True, 2-False, 3-NA)</t>
  </si>
  <si>
    <t>5c. My counselor helped me understand the pros and cons of my decision? (1-True, 2-False, 3-NA)</t>
  </si>
  <si>
    <t>6. I am sitisfied with how well VR prepared me for employment? (1-True, 2-Mostly True, 3-Mostly Untrue, 4-Untrue)</t>
  </si>
  <si>
    <t>6a. I was advised about my rights and responsibilities? (1-True, 2-False, 3-NA)</t>
  </si>
  <si>
    <t>6b. I was able to make informed choices about the services needed? (1-True, 2-False, 3-NA)</t>
  </si>
  <si>
    <t>6c. I was able to make informed choices about the provider of services? (1-True, 2-False, 3-NA)</t>
  </si>
  <si>
    <t>6d. I received all agreed upon services? (1-True, 2-False, 3-NA)</t>
  </si>
  <si>
    <t>6e. I received all agreed upon services in the time frame that met my needs? (1-True, 2-False, 3-NA)</t>
  </si>
  <si>
    <t>7. I am employed or more prepared for employment because of the services I received? (1-True, 2-Mostly True, 3-Mostly Untrue, 4-Untrue)</t>
  </si>
  <si>
    <t>7b. I can independently search for employment? (1-True, 2-False, 3-NA)</t>
  </si>
  <si>
    <t>7c. I can identify and request appropriate acommodations from an employer? (1-True, 2-False, 3-NA)</t>
  </si>
  <si>
    <t>7d. I obtained or am more prepared for a job that matches my skills and interests? (1-True, 2-False, 3-NA)</t>
  </si>
  <si>
    <t>11a. Staff explained that employment is the purpose of services? (1-True, 2-False, 3-NA)</t>
  </si>
  <si>
    <t>11b. Staff explained the process that I would follow? (1-True, 2-False, 3-NA)</t>
  </si>
  <si>
    <t>11c. Staff explained my rights and responsibilities as a partner in the process? (1-True, 2-False, 3-NA)</t>
  </si>
  <si>
    <t>11d. Staff explained what services were available to help me become employed? (1-True, 2-False, 3-NA)</t>
  </si>
  <si>
    <t>12a. Staff explained why I needed to be found eligible before receiving services? (1-True, 2-False, 3-NA)</t>
  </si>
  <si>
    <t>12b. Staff explained the steps they would use to determine whether I was eligible for services? (1-True, 2-False, 3-NA)</t>
  </si>
  <si>
    <t>12d. Staff notified me when I was eligible to begin services? (1-True, 2-False, 3-NA)</t>
  </si>
  <si>
    <t>13b. Everyone involved in my plan worked well together to address issues? (1-True, 2-False, 3-NA)</t>
  </si>
  <si>
    <t>13c. Changes to my plan were considered and made when appropriate? (1-True, 2-False, 3-NA)</t>
  </si>
  <si>
    <t>14a. Staff scheduled appointments in accessible locations? (1-True, 2-False, 3-NA)</t>
  </si>
  <si>
    <t>14b. Staff supported me as a partner in the planning process? (1-True, 2-False, 3-NA)</t>
  </si>
  <si>
    <t>14c. Staff fulfilled my request for written communication? (1-True, 2-False, 3-NA)</t>
  </si>
  <si>
    <t>14d. Staff referred me to community partners who understood my disability? (1-True, 2-False, 3-NA)</t>
  </si>
  <si>
    <t>1. I am satisfied with the way my counselor related to me?</t>
  </si>
  <si>
    <t>Mostly True</t>
  </si>
  <si>
    <t>Mostly Untrue</t>
  </si>
  <si>
    <t>Untrue</t>
  </si>
  <si>
    <t>2. My counselor took my concerns seriously?</t>
  </si>
  <si>
    <t>2a. My counselor took the time to listen to my concerns?</t>
  </si>
  <si>
    <t>Not Applicable</t>
  </si>
  <si>
    <t>2b. My counselor took my opinion into consideration and responded appropriately?</t>
  </si>
  <si>
    <t>2c. My counselor was open to me expressing my complaints?</t>
  </si>
  <si>
    <t>3. My counselor understood my needs?</t>
  </si>
  <si>
    <t>3a. My counselor gave me useful advice?</t>
  </si>
  <si>
    <t>3b. My counselor helped me find resources in the community?</t>
  </si>
  <si>
    <t>3c. My counselor helped me challenge my expectations of myself?</t>
  </si>
  <si>
    <t>4. My counselor treated me with respect?</t>
  </si>
  <si>
    <t>4a. My counselor was timely when responding to me?</t>
  </si>
  <si>
    <t>4b. My counselor acted in my best interest?</t>
  </si>
  <si>
    <t>4c. My counselor respected my culture?</t>
  </si>
  <si>
    <t>5. My counselor involved me in decision-making?</t>
  </si>
  <si>
    <t>5a. My counselor helped me focus on employment?</t>
  </si>
  <si>
    <t>5b. My counselor helped me explore my options?</t>
  </si>
  <si>
    <t>5c. My counselor helped me understand the pros and cons of my decision?</t>
  </si>
  <si>
    <t>6. I am satisfied with how well VR prepared me for employment?</t>
  </si>
  <si>
    <t>6a. I was advised about my rights and responsibilities?</t>
  </si>
  <si>
    <t>6b. I was able to make informed choices about the services needed?</t>
  </si>
  <si>
    <t>6c. I was able to make informed choices about the provider of services?</t>
  </si>
  <si>
    <t>6d. I received all agreed upon services?</t>
  </si>
  <si>
    <t>6e. I received all agreed upon services in the time frame that met my needs?</t>
  </si>
  <si>
    <t>7. I am employed or more prepared for employment because of the services I received?</t>
  </si>
  <si>
    <t>7b. I can independently search for employment?</t>
  </si>
  <si>
    <t>7c. I can identify and request appropriate accommodations from an employer?</t>
  </si>
  <si>
    <t>7d. I obtained or am more prepared for a job that matches my skills and interests?</t>
  </si>
  <si>
    <t>11a. Staff explained that employment is the purpose of services?</t>
  </si>
  <si>
    <t>11b. Staff explained the process that I would follow?</t>
  </si>
  <si>
    <t>11c. Staff explained my rights and responsibilities as a partner in the process?</t>
  </si>
  <si>
    <t>11d. Staff explained what services were available to help me become employed?</t>
  </si>
  <si>
    <t>12a. Staff explained why I needed to be found eligible before receiving services?</t>
  </si>
  <si>
    <t>12b. Staff explained the steps they would use to determine whether I was eligible for services?</t>
  </si>
  <si>
    <t>12d. Staff notified me when I was eligible to begin services?</t>
  </si>
  <si>
    <t>13b. Everyone involved in my plan worked well together to address issues?</t>
  </si>
  <si>
    <t>13c. Changes to my plan were considered and made when appropriate?</t>
  </si>
  <si>
    <t>14a. Staff scheduled appointments in accessible locations?</t>
  </si>
  <si>
    <t>14b. Staff supported me as a partner in the planning process.</t>
  </si>
  <si>
    <t>14c. Staff fulfilled my request for written communication?</t>
  </si>
  <si>
    <t>14d. Staff referred me to community partners who understood my disability?</t>
  </si>
  <si>
    <t>Successful</t>
  </si>
  <si>
    <t>Unsuccessful</t>
  </si>
  <si>
    <t>True</t>
  </si>
  <si>
    <t>False</t>
  </si>
  <si>
    <t>Not really an issue…very low percentage of those who felt disrespected.</t>
  </si>
  <si>
    <t>Not really an issue…very low percentage for either successfully or unsuccessfully placed consumers.</t>
  </si>
  <si>
    <t>Very high in unsatisfied for those without employment</t>
  </si>
  <si>
    <t>Not really an issue for consumers...</t>
  </si>
  <si>
    <t>This question seems to show with overwhelming numbers that people received the assistance for which they were referred.</t>
  </si>
  <si>
    <t>Many consumers, whether successfully placed or not, needed other services before they could become employed</t>
  </si>
  <si>
    <t xml:space="preserve">Not really an issue </t>
  </si>
  <si>
    <t>7a. Services I received helped to decrease or remove the chalenges I had related to employment? (1-True, 2-False, 3-NA)</t>
  </si>
  <si>
    <t>7e. IVRS staff helped me achieve my employment goal? (1-True, 2-False, 3-NA)</t>
  </si>
  <si>
    <t>8. In addition to IVRS, I needed assistance from other agencies for non-employment related needs? (i.e. housing, food assistance). (1-True, 2-Mostly True, 3-Mostly Untrue, 4-Untrue)</t>
  </si>
  <si>
    <t>8a. I was given information about other programs that could help me with my non-employment related needs? (1-True, 2-False, 3-NA)</t>
  </si>
  <si>
    <t>8b. I was connected to other programs for assistance with my non-employment related  needs? (1-True, 2-False, 3-NA)</t>
  </si>
  <si>
    <t>8c. I have received the assistance I needed from other agencies? (1-True, 2-False, 3-NA)</t>
  </si>
  <si>
    <t>8d. I am currently on a waiting list for services from the other agencies? (1-True, 2-False, 3-NA)</t>
  </si>
  <si>
    <t>8e. I denied assistance by the other agencies? (1-True, 2-False, 3-NA)</t>
  </si>
  <si>
    <t>9. I needed services that IVRS could not provide before I was ready for employment? (1-True, 2-Mostly True, 3-Mostly Untrue, 4-Untrue)</t>
  </si>
  <si>
    <t>10. I had a satisfactory experience through IVRS? (1-True, 2-Mostly True, 3-Mostly Untrue, 4-Untrue)</t>
  </si>
  <si>
    <t>11. When I applied for services, I was given an overview of the vocational rehabilitation process that I understood? (1-True, 2-Mostly True, 3-Mostly Untrue, 4-Untrue)</t>
  </si>
  <si>
    <t>12. The process for determining my eligibility for VR services went smoothly? (1-True, 2-Mostly True, 3-Mostly Untrue, 4-Untrue)</t>
  </si>
  <si>
    <t>12c. Staff involved me in determining my eligibility for services? (1-True, 2-False, 3-NA)</t>
  </si>
  <si>
    <t>13. My Plan for Employment was carried out to my satisfaction? (1-True, 2-Mostly True, 3-Mostly Untrue, 4-Untrue)</t>
  </si>
  <si>
    <t>13a. All services that I needed to be successfully employed were provided? (1-True, 2-False, 3-NA)</t>
  </si>
  <si>
    <t>13d. Services that were purchased on my behalf were what I expected? (1-True, 2-False, 3-NA)</t>
  </si>
  <si>
    <t>14. VR staff adequately accommodated my disability? (1-True, 2-Mostly True, 3-Mostly Untrue, 4-NA)</t>
  </si>
  <si>
    <t>7a. Services I received helped to decrease or remove the challenges I had related to employment?</t>
  </si>
  <si>
    <t>7e. IVRS staff helped me achieve my employment goal?</t>
  </si>
  <si>
    <t>8. In addition to IVRS, I needed assistance from other agencies for non-employment related needs? (i.e. housing, food assistance)</t>
  </si>
  <si>
    <t>8a. I was given information about other programs that could help me with my non-employment related needs?</t>
  </si>
  <si>
    <t>8b. I was connected to other programs for assistance with my non-employment related  needs?</t>
  </si>
  <si>
    <t xml:space="preserve">8c. I have received the assistance I needed from the other agencies? </t>
  </si>
  <si>
    <t>8d. I am currently on a waiting list for services from the other agencies?</t>
  </si>
  <si>
    <t>8e. I was denied assistance by the other agencies?</t>
  </si>
  <si>
    <t>9. I needed services that IVRS could not provide before I was ready for employment?</t>
  </si>
  <si>
    <t>10. I had a satisfactory experience through IVRS?</t>
  </si>
  <si>
    <t>11. When I applied for services, I was given an overview of the vocational rehabilitation process that I understood?</t>
  </si>
  <si>
    <t>12. The process for determining my eligibility for VR services went smoothly? (every respondent should answer all the drop-down questions for this one.)</t>
  </si>
  <si>
    <t>12c. Staff involved me in determining my eligibility services?</t>
  </si>
  <si>
    <t>13. My Plan for Employment was carried out to my satisfaction?</t>
  </si>
  <si>
    <t>13a. All services that I needed to be successfully employed were provided?</t>
  </si>
  <si>
    <t>13d.  Services that were purchased on my behalf were what I expected?</t>
  </si>
  <si>
    <t xml:space="preserve">Not really an issue for consumers with successful placements.  </t>
  </si>
  <si>
    <t xml:space="preserve">This is pretty much a non-issue </t>
  </si>
  <si>
    <t>14. VR staff adequately accommodated my disability?</t>
  </si>
  <si>
    <t>Mail</t>
  </si>
  <si>
    <t>Not really an issue… low percentage for either successfully or unsuccessfully placed consumers.</t>
  </si>
  <si>
    <t>Return Rate Prior Years</t>
  </si>
  <si>
    <t>Survey Monkey / Mail</t>
  </si>
  <si>
    <t>IVRS Electronic / Mail</t>
  </si>
  <si>
    <t>Modified Date</t>
  </si>
  <si>
    <t>Not really an issue…one of the lowest percentages in the whole survey.</t>
  </si>
  <si>
    <t xml:space="preserve">Not really an issue for successful closures. </t>
  </si>
  <si>
    <t xml:space="preserve">Not really an issue for consumers with successful placements. </t>
  </si>
  <si>
    <t>Not really an issue.</t>
  </si>
  <si>
    <t>FFY 2022</t>
  </si>
  <si>
    <t>2022 Consumer Satisfaction Survey</t>
  </si>
  <si>
    <t>007-0090-16</t>
  </si>
  <si>
    <t>SXC</t>
  </si>
  <si>
    <t>Jean Biernbaum</t>
  </si>
  <si>
    <t>digimongex90@gmail.com</t>
  </si>
  <si>
    <t>014-0159-19</t>
  </si>
  <si>
    <t>IAC</t>
  </si>
  <si>
    <t>Roger Halvorson</t>
  </si>
  <si>
    <t>rachel.miller@sui.org</t>
  </si>
  <si>
    <t>065-0070-15</t>
  </si>
  <si>
    <t>drsck@mtcnet.net</t>
  </si>
  <si>
    <t>008-0125-20</t>
  </si>
  <si>
    <t>WAT</t>
  </si>
  <si>
    <t>Diana Mount</t>
  </si>
  <si>
    <t>kainemillard32@gmail.com</t>
  </si>
  <si>
    <t>003-0052-14</t>
  </si>
  <si>
    <t>DAV</t>
  </si>
  <si>
    <t>Justin Clark</t>
  </si>
  <si>
    <t>kathylantzky@msn.com</t>
  </si>
  <si>
    <t>078-0096-19</t>
  </si>
  <si>
    <t>NCAO</t>
  </si>
  <si>
    <t>Joleen Schulz</t>
  </si>
  <si>
    <t>martens66@gmail.com</t>
  </si>
  <si>
    <t>485-0060-19</t>
  </si>
  <si>
    <t>Rebekah Hanna</t>
  </si>
  <si>
    <t>jdbottorff92@gmail.com</t>
  </si>
  <si>
    <t>003-0128-19</t>
  </si>
  <si>
    <t>kimbothel@aol.com</t>
  </si>
  <si>
    <t>013-0026-16</t>
  </si>
  <si>
    <t>DBQ</t>
  </si>
  <si>
    <t>Helen Billmeyer</t>
  </si>
  <si>
    <t>loganjcrowley27@gmail.com</t>
  </si>
  <si>
    <t>013-0241-19</t>
  </si>
  <si>
    <t>Lisa Bergfeld</t>
  </si>
  <si>
    <t>NULL</t>
  </si>
  <si>
    <t>013-0263-19</t>
  </si>
  <si>
    <t>denisekruser@gmail.com</t>
  </si>
  <si>
    <t>453-0039-20</t>
  </si>
  <si>
    <t>James Faulkner</t>
  </si>
  <si>
    <t>justintwitty1982@gmail.com</t>
  </si>
  <si>
    <t>026-0377-20</t>
  </si>
  <si>
    <t>WCAO</t>
  </si>
  <si>
    <t>Marsha Burright</t>
  </si>
  <si>
    <t>shandrac@teamcsa.org</t>
  </si>
  <si>
    <t>024-0190-20</t>
  </si>
  <si>
    <t>Kali Nelson</t>
  </si>
  <si>
    <t>nicoleaschomaker@gmail.com</t>
  </si>
  <si>
    <t>013-0257-17</t>
  </si>
  <si>
    <t>cjgibbs86@gmail.com</t>
  </si>
  <si>
    <t>026-0093-14</t>
  </si>
  <si>
    <t>currden@mchsi.com</t>
  </si>
  <si>
    <t>013-0310-13</t>
  </si>
  <si>
    <t>wehrspanna@uwplatt.edu</t>
  </si>
  <si>
    <t>001-0302-16</t>
  </si>
  <si>
    <t>CDR</t>
  </si>
  <si>
    <t>Mamonate Nyane</t>
  </si>
  <si>
    <t>gw53558@yahoo.com</t>
  </si>
  <si>
    <t>485-0024-20</t>
  </si>
  <si>
    <t>013-0373-20</t>
  </si>
  <si>
    <t>Amanda Eckelberg</t>
  </si>
  <si>
    <t>meldietz@hotmail.com</t>
  </si>
  <si>
    <t>485-0093-19</t>
  </si>
  <si>
    <t>013-0083-21</t>
  </si>
  <si>
    <t>darewood1983@gmail.com</t>
  </si>
  <si>
    <t>026-0725-20</t>
  </si>
  <si>
    <t>Kathleen Davis</t>
  </si>
  <si>
    <t>tammyroff.tf@gmail.com</t>
  </si>
  <si>
    <t>065-0024-18</t>
  </si>
  <si>
    <t>Emily Hoogland</t>
  </si>
  <si>
    <t>001-0376-18</t>
  </si>
  <si>
    <t>Jeremy Cook</t>
  </si>
  <si>
    <t>prince.oreo.cookie@gmail.com</t>
  </si>
  <si>
    <t>025-0077-18</t>
  </si>
  <si>
    <t>CBL</t>
  </si>
  <si>
    <t>Rudy Evertsen</t>
  </si>
  <si>
    <t>joetay1994@icloud.com</t>
  </si>
  <si>
    <t>092-0005-21</t>
  </si>
  <si>
    <t>FTD</t>
  </si>
  <si>
    <t>Susan Irwin</t>
  </si>
  <si>
    <t>065-0021-19</t>
  </si>
  <si>
    <t>bkwynia@hotmail.com</t>
  </si>
  <si>
    <t>485-0050-19</t>
  </si>
  <si>
    <t>BUR</t>
  </si>
  <si>
    <t>Aleena Garr</t>
  </si>
  <si>
    <t>kensetth@gmail.com</t>
  </si>
  <si>
    <t>033-0074-11</t>
  </si>
  <si>
    <t>Jody Gibson</t>
  </si>
  <si>
    <t>nmendez011@gmail.com</t>
  </si>
  <si>
    <t>033-0067-12</t>
  </si>
  <si>
    <t>allysonirenefreer@hotmail.com</t>
  </si>
  <si>
    <t>001-0073-13</t>
  </si>
  <si>
    <t>johnsadn@uni.edu</t>
  </si>
  <si>
    <t>093-0017-14</t>
  </si>
  <si>
    <t>zubrodr93@uiu.edu</t>
  </si>
  <si>
    <t>003-0055-14</t>
  </si>
  <si>
    <t>kstender@tri-statesprinkler.com</t>
  </si>
  <si>
    <t>007-0036-15</t>
  </si>
  <si>
    <t>manletaa@uni.edu</t>
  </si>
  <si>
    <t>026-0075-15</t>
  </si>
  <si>
    <t>z.hauser@aol.com</t>
  </si>
  <si>
    <t>495-0008-17</t>
  </si>
  <si>
    <t>OTT</t>
  </si>
  <si>
    <t>Morgan Johnson</t>
  </si>
  <si>
    <t>001-0076-17</t>
  </si>
  <si>
    <t>Maggie Johnson</t>
  </si>
  <si>
    <t>spadequeen10@gmail.com</t>
  </si>
  <si>
    <t>015-0168-17</t>
  </si>
  <si>
    <t>Krista Monroe</t>
  </si>
  <si>
    <t>schriej1974@gmail.com</t>
  </si>
  <si>
    <t>495-0005-18</t>
  </si>
  <si>
    <t>hicks108726@indianola.k12.ia.us</t>
  </si>
  <si>
    <t>008-0133-19</t>
  </si>
  <si>
    <t>Katrina Webbeking</t>
  </si>
  <si>
    <t>jaredgadson@gmail.com</t>
  </si>
  <si>
    <t>008-0134-19</t>
  </si>
  <si>
    <t>024-0073-19</t>
  </si>
  <si>
    <t>Andrea Keith</t>
  </si>
  <si>
    <t>3lees@centurylink.net</t>
  </si>
  <si>
    <t>008-0170-19</t>
  </si>
  <si>
    <t>Jonnysig5@gmail.com</t>
  </si>
  <si>
    <t>001-0300-19</t>
  </si>
  <si>
    <t>warrenkl456@gmail.com</t>
  </si>
  <si>
    <t>008-0223-19</t>
  </si>
  <si>
    <t>21alarson@nfv.k12.ia.us</t>
  </si>
  <si>
    <t>001-0307-19</t>
  </si>
  <si>
    <t>Samantha Mostafa</t>
  </si>
  <si>
    <t>025-0035-19</t>
  </si>
  <si>
    <t>Jamesnickgidget@gmail.com</t>
  </si>
  <si>
    <t>571-0009-19</t>
  </si>
  <si>
    <t>aldevoh88@gmail.com</t>
  </si>
  <si>
    <t>008-0346-19</t>
  </si>
  <si>
    <t>Alyssa Sinnwell</t>
  </si>
  <si>
    <t>mainebledsoe09@gmail.com</t>
  </si>
  <si>
    <t>065-0016-20</t>
  </si>
  <si>
    <t>Chantel Blair</t>
  </si>
  <si>
    <t>jonathanonnen@gmail.com</t>
  </si>
  <si>
    <t>006-0032-20</t>
  </si>
  <si>
    <t>mykids3mom@yahoo.com</t>
  </si>
  <si>
    <t>006-0054-20</t>
  </si>
  <si>
    <t>supernaturalfan5166@gmail.com</t>
  </si>
  <si>
    <t>005-0042-20</t>
  </si>
  <si>
    <t>Tacey Arens</t>
  </si>
  <si>
    <t>wilsonnatasha1983@gmail.com</t>
  </si>
  <si>
    <t>005-0076-20</t>
  </si>
  <si>
    <t>006-0168-20</t>
  </si>
  <si>
    <t>lkhoch14h@aol.com</t>
  </si>
  <si>
    <t>008-0258-20</t>
  </si>
  <si>
    <t>003-0267-20</t>
  </si>
  <si>
    <t>Vickie Sible</t>
  </si>
  <si>
    <t>schlichtes@gmail.com</t>
  </si>
  <si>
    <t>008-0001-21</t>
  </si>
  <si>
    <t>Lewis Litzel</t>
  </si>
  <si>
    <t>yolandamillsaplee@gmail.com</t>
  </si>
  <si>
    <t>008-0083-21</t>
  </si>
  <si>
    <t>Paul Fuller</t>
  </si>
  <si>
    <t>michael.mcgrane85@gmail.com</t>
  </si>
  <si>
    <t>008-0109-21</t>
  </si>
  <si>
    <t>bbbk09racing@gmail.com</t>
  </si>
  <si>
    <t>014-0101-21</t>
  </si>
  <si>
    <t>Stephanie Klostermann</t>
  </si>
  <si>
    <t>kristynweaver80@gmail.com</t>
  </si>
  <si>
    <t>001-0109-15</t>
  </si>
  <si>
    <t>Todd Ohnesorge</t>
  </si>
  <si>
    <t>computergamer95@gmail.com</t>
  </si>
  <si>
    <t>332-0044-16</t>
  </si>
  <si>
    <t>kch004@morningside.edu</t>
  </si>
  <si>
    <t>005-0084-17</t>
  </si>
  <si>
    <t>Kyla Dixon</t>
  </si>
  <si>
    <t>560-0009-18</t>
  </si>
  <si>
    <t>hijmckiness@gmail.com</t>
  </si>
  <si>
    <t>014-0019-20</t>
  </si>
  <si>
    <t>Jennifer Knaack</t>
  </si>
  <si>
    <t>hahrley3332@gmail.com</t>
  </si>
  <si>
    <t>013-0167-20</t>
  </si>
  <si>
    <t>rogerleo54@gmail.com</t>
  </si>
  <si>
    <t>011-0151-20</t>
  </si>
  <si>
    <t>Jody Whitmore</t>
  </si>
  <si>
    <t>doddsperry2@gmail.com</t>
  </si>
  <si>
    <t>007-0277-18</t>
  </si>
  <si>
    <t>smithn@k-pcsd.org</t>
  </si>
  <si>
    <t>026-0724-20</t>
  </si>
  <si>
    <t>Becky Lofstedt</t>
  </si>
  <si>
    <t>cynthiavancleave9@gmail.com</t>
  </si>
  <si>
    <t>014-0098-21</t>
  </si>
  <si>
    <t>cmcanfield2496@gmail.com</t>
  </si>
  <si>
    <t>001-0361-21</t>
  </si>
  <si>
    <t>kenscustompc@gmail.com</t>
  </si>
  <si>
    <t>001-0077-13</t>
  </si>
  <si>
    <t>Gina Hiler</t>
  </si>
  <si>
    <t>LaXTeal@aol.com</t>
  </si>
  <si>
    <t>453-0001-19</t>
  </si>
  <si>
    <t>bgreen612@gmail.com</t>
  </si>
  <si>
    <t>078-0012-19</t>
  </si>
  <si>
    <t>Jill Daniel</t>
  </si>
  <si>
    <t>026-0257-19</t>
  </si>
  <si>
    <t>gracie.behre@gmail.com</t>
  </si>
  <si>
    <t>026-0543-19</t>
  </si>
  <si>
    <t>Colin Priest</t>
  </si>
  <si>
    <t>diditall59@gmail.com</t>
  </si>
  <si>
    <t>015-0013-20</t>
  </si>
  <si>
    <t>MAC</t>
  </si>
  <si>
    <t>Sue Faber</t>
  </si>
  <si>
    <t>001-0169-20</t>
  </si>
  <si>
    <t>Quinn Baughman</t>
  </si>
  <si>
    <t>olivia101166@msn.com</t>
  </si>
  <si>
    <t>005-0250-20</t>
  </si>
  <si>
    <t>flyineagle50@gmail.com</t>
  </si>
  <si>
    <t>013-0084-21</t>
  </si>
  <si>
    <t>007-0107-17</t>
  </si>
  <si>
    <t>vicwillson@msn.com</t>
  </si>
  <si>
    <t>007-0083-18</t>
  </si>
  <si>
    <t>Holly Keegan</t>
  </si>
  <si>
    <t>caley.b000@gmail.com</t>
  </si>
  <si>
    <t>007-0131-18</t>
  </si>
  <si>
    <t>tjgoodvin0@gmail.com</t>
  </si>
  <si>
    <t>042-0005-19</t>
  </si>
  <si>
    <t>Melissa Keen</t>
  </si>
  <si>
    <t>015-0029-19</t>
  </si>
  <si>
    <t>Michael Lewis</t>
  </si>
  <si>
    <t>jordan.thompson@west-forkschool.org</t>
  </si>
  <si>
    <t>015-0048-19</t>
  </si>
  <si>
    <t>raymondusa48@yahoo.com</t>
  </si>
  <si>
    <t>481-0029-20</t>
  </si>
  <si>
    <t>Ellen Sokolowski</t>
  </si>
  <si>
    <t>014-0189-20</t>
  </si>
  <si>
    <t>Kathryn Seydel</t>
  </si>
  <si>
    <t>lgronewold1962@gmail.com</t>
  </si>
  <si>
    <t>024-0186-20</t>
  </si>
  <si>
    <t>Kate Ringstad</t>
  </si>
  <si>
    <t>fcirksena@gmail.com</t>
  </si>
  <si>
    <t>026-0749-20</t>
  </si>
  <si>
    <t>Karyn Link</t>
  </si>
  <si>
    <t>jasper.pots@gmail.com</t>
  </si>
  <si>
    <t>015-0121-21</t>
  </si>
  <si>
    <t>RileeMckib@gmail.com</t>
  </si>
  <si>
    <t>002-0079-14</t>
  </si>
  <si>
    <t>Melissa Stevens-Shudak</t>
  </si>
  <si>
    <t>nascarfan_88_24@yahoo.com</t>
  </si>
  <si>
    <t>013-0070-15</t>
  </si>
  <si>
    <t>stephpotter17@outlook.com</t>
  </si>
  <si>
    <t>093-0003-17</t>
  </si>
  <si>
    <t>mandera57@gmail.com</t>
  </si>
  <si>
    <t>013-0034-17</t>
  </si>
  <si>
    <t>kutschfab5@gmail.com</t>
  </si>
  <si>
    <t>026-0123-17</t>
  </si>
  <si>
    <t>Franklin Frein</t>
  </si>
  <si>
    <t>Carmen.Crowell@wellsfargo.com</t>
  </si>
  <si>
    <t>002-0028-18</t>
  </si>
  <si>
    <t>jeepingmy@gmail.com</t>
  </si>
  <si>
    <t>002-0029-19</t>
  </si>
  <si>
    <t>gbaker1884@gmail.com</t>
  </si>
  <si>
    <t>009-0022-19</t>
  </si>
  <si>
    <t>Kara Bartholomew</t>
  </si>
  <si>
    <t>008-0353-19</t>
  </si>
  <si>
    <t>alexis201513@gmail.com</t>
  </si>
  <si>
    <t>001-0190-20</t>
  </si>
  <si>
    <t>alessa.michelle417@gmail.com</t>
  </si>
  <si>
    <t>078-0092-20</t>
  </si>
  <si>
    <t>014-0159-16</t>
  </si>
  <si>
    <t>wellingtonmitch59@gmail.com</t>
  </si>
  <si>
    <t>093-0014-18</t>
  </si>
  <si>
    <t>Keri Maas</t>
  </si>
  <si>
    <t>007-0223-18</t>
  </si>
  <si>
    <t>Tara Gunderson</t>
  </si>
  <si>
    <t>ayesharashid1992@yahoo.com</t>
  </si>
  <si>
    <t>007-0233-18</t>
  </si>
  <si>
    <t>corinthian.1974@gmail.com</t>
  </si>
  <si>
    <t>026-0652-18</t>
  </si>
  <si>
    <t>camimunger@gmail.com</t>
  </si>
  <si>
    <t>042-0003-19</t>
  </si>
  <si>
    <t>tiffanie1983@gmail.com</t>
  </si>
  <si>
    <t>007-0022-19</t>
  </si>
  <si>
    <t>skloostra2005@gmail.com</t>
  </si>
  <si>
    <t>014-0059-19</t>
  </si>
  <si>
    <t>Raequel Lewis</t>
  </si>
  <si>
    <t>006-0067-19</t>
  </si>
  <si>
    <t>Melia Roberts</t>
  </si>
  <si>
    <t>007-0089-19</t>
  </si>
  <si>
    <t>kaylenemary1980@gmail.com</t>
  </si>
  <si>
    <t>024-0136-19</t>
  </si>
  <si>
    <t>Eric Evans</t>
  </si>
  <si>
    <t>jeffhappe@gmail.com</t>
  </si>
  <si>
    <t>014-0029-20</t>
  </si>
  <si>
    <t>epizooooti@gmail.com</t>
  </si>
  <si>
    <t>015-0142-20</t>
  </si>
  <si>
    <t>bayer19792002@yahoo.com</t>
  </si>
  <si>
    <t>006-0390-20</t>
  </si>
  <si>
    <t>013-0377-20</t>
  </si>
  <si>
    <t>jackcole861@gmail.com</t>
  </si>
  <si>
    <t>006-0171-21</t>
  </si>
  <si>
    <t>Natalie Pettit</t>
  </si>
  <si>
    <t>026-0299-19</t>
  </si>
  <si>
    <t>Alice Castle</t>
  </si>
  <si>
    <t>aaron.chase.robbins@yahoo.com</t>
  </si>
  <si>
    <t>008-0219-19</t>
  </si>
  <si>
    <t>lightningbug902@gmail.com</t>
  </si>
  <si>
    <t>007-0141-19</t>
  </si>
  <si>
    <t>Angela Young</t>
  </si>
  <si>
    <t>1ryanmills200@gmail.com</t>
  </si>
  <si>
    <t>093-0025-20</t>
  </si>
  <si>
    <t>Amy Chicos</t>
  </si>
  <si>
    <t>008-0124-20</t>
  </si>
  <si>
    <t>rrwoltzen@gmail.com</t>
  </si>
  <si>
    <t>001-0235-21</t>
  </si>
  <si>
    <t>yeetfleet369@icloud.com</t>
  </si>
  <si>
    <t>042-0145-21</t>
  </si>
  <si>
    <t>Rhonda Draisey</t>
  </si>
  <si>
    <t>015-0068-14</t>
  </si>
  <si>
    <t>Susan Summers</t>
  </si>
  <si>
    <t>dl.habit116@gmail.com</t>
  </si>
  <si>
    <t>026-0502-15</t>
  </si>
  <si>
    <t>amccaughey@dmacc.edu</t>
  </si>
  <si>
    <t>014-0302-18</t>
  </si>
  <si>
    <t>waitekristi@gmail.com</t>
  </si>
  <si>
    <t>005-0069-19</t>
  </si>
  <si>
    <t>332-0051-19</t>
  </si>
  <si>
    <t>Stephanie Bernal</t>
  </si>
  <si>
    <t>024-0211-19</t>
  </si>
  <si>
    <t>Emilie Ruehs</t>
  </si>
  <si>
    <t>hansenlynnpyper2003@gmail.com</t>
  </si>
  <si>
    <t>014-0152-20</t>
  </si>
  <si>
    <t>cloverGnG@yahoo.com</t>
  </si>
  <si>
    <t>014-0338-20</t>
  </si>
  <si>
    <t>sarahb1997@live.com</t>
  </si>
  <si>
    <t>026-0802-20</t>
  </si>
  <si>
    <t>kingery3.kv@gmail.com</t>
  </si>
  <si>
    <t>009-0048-21</t>
  </si>
  <si>
    <t>093-0042-15</t>
  </si>
  <si>
    <t>lisabeiwel@gmail.com</t>
  </si>
  <si>
    <t>092-0013-19</t>
  </si>
  <si>
    <t>whiskybd@yahoo.com</t>
  </si>
  <si>
    <t>024-0118-19</t>
  </si>
  <si>
    <t>mikerogers976@gmail.com</t>
  </si>
  <si>
    <t>481-0052-19</t>
  </si>
  <si>
    <t>jagerstacy@gmail.com</t>
  </si>
  <si>
    <t>332-0029-20</t>
  </si>
  <si>
    <t>jgower37@yahoo.com</t>
  </si>
  <si>
    <t>014-0424-20</t>
  </si>
  <si>
    <t>jojosto2019@gmail.com</t>
  </si>
  <si>
    <t>001-0146-21</t>
  </si>
  <si>
    <t>DaFrid5479@gmail.com</t>
  </si>
  <si>
    <t>042-0087-21</t>
  </si>
  <si>
    <t>011-0067-15</t>
  </si>
  <si>
    <t>Cynthia Whalen</t>
  </si>
  <si>
    <t>005-0184-17</t>
  </si>
  <si>
    <t>Mary Ohrtman</t>
  </si>
  <si>
    <t>013-0010-18</t>
  </si>
  <si>
    <t>bbries@seton.pvt.k12.ia.us</t>
  </si>
  <si>
    <t>042-0021-18</t>
  </si>
  <si>
    <t>013-0077-18</t>
  </si>
  <si>
    <t>Brandi Fitch</t>
  </si>
  <si>
    <t>mckinzihouselog@aol.com</t>
  </si>
  <si>
    <t>078-0089-18</t>
  </si>
  <si>
    <t>emahlstedt@hotmail.com</t>
  </si>
  <si>
    <t>078-0026-19</t>
  </si>
  <si>
    <t>013-0262-19</t>
  </si>
  <si>
    <t>Barrettnoah086@gmail.com</t>
  </si>
  <si>
    <t>003-0099-20</t>
  </si>
  <si>
    <t>Joelle Mcdermott</t>
  </si>
  <si>
    <t>jamie.pamper123@gmail.com</t>
  </si>
  <si>
    <t>014-0344-20</t>
  </si>
  <si>
    <t>Samneuzil106@gmail.com</t>
  </si>
  <si>
    <t>008-0266-21</t>
  </si>
  <si>
    <t>jrjmoney8@gmail.com</t>
  </si>
  <si>
    <t>008-0379-21</t>
  </si>
  <si>
    <t>OwenWilliams19991@outlook.com</t>
  </si>
  <si>
    <t>014-0317-14</t>
  </si>
  <si>
    <t>James Smith</t>
  </si>
  <si>
    <t>darrolgeek1@gmail.com</t>
  </si>
  <si>
    <t>008-0320-16</t>
  </si>
  <si>
    <t>013-0239-17</t>
  </si>
  <si>
    <t>Jason Rubel</t>
  </si>
  <si>
    <t>007-0352-17</t>
  </si>
  <si>
    <t>Kristin Kalin</t>
  </si>
  <si>
    <t>cmtiedtke@msn.com</t>
  </si>
  <si>
    <t>008-0112-18</t>
  </si>
  <si>
    <t>jenkinsdajoniss@yahoo.com</t>
  </si>
  <si>
    <t>003-0055-18</t>
  </si>
  <si>
    <t>Kiajuana Lawton</t>
  </si>
  <si>
    <t>miaikum@gmail.com</t>
  </si>
  <si>
    <t>013-0162-18</t>
  </si>
  <si>
    <t>madievosberg50@gmail.com</t>
  </si>
  <si>
    <t>008-0369-18</t>
  </si>
  <si>
    <t>014-0035-19</t>
  </si>
  <si>
    <t>078-0032-19</t>
  </si>
  <si>
    <t>092-0001-20</t>
  </si>
  <si>
    <t>026-0242-20</t>
  </si>
  <si>
    <t>ginaloney@yahoo.com</t>
  </si>
  <si>
    <t>002-0082-20</t>
  </si>
  <si>
    <t>Trylonda Whytus</t>
  </si>
  <si>
    <t>013-0192-20</t>
  </si>
  <si>
    <t>karis.vanderbroek@gmail.com</t>
  </si>
  <si>
    <t>007-0378-19</t>
  </si>
  <si>
    <t>014-0342-20</t>
  </si>
  <si>
    <t>Psrussell55@yahoo.com</t>
  </si>
  <si>
    <t>485-0034-12</t>
  </si>
  <si>
    <t>angelea.thurell@gmail.com</t>
  </si>
  <si>
    <t>026-0318-16</t>
  </si>
  <si>
    <t>hjoybassett@yahoo.com</t>
  </si>
  <si>
    <t>024-0059-16</t>
  </si>
  <si>
    <t>Chessa Jones</t>
  </si>
  <si>
    <t>micelover74@gmail.com</t>
  </si>
  <si>
    <t>007-0059-17</t>
  </si>
  <si>
    <t>17bartltia@sblschools.com</t>
  </si>
  <si>
    <t>026-0587-17</t>
  </si>
  <si>
    <t>014-0079-19</t>
  </si>
  <si>
    <t>teri.snell@hotmail.com</t>
  </si>
  <si>
    <t>014-0121-19</t>
  </si>
  <si>
    <t>scott3hansen@gmail.com</t>
  </si>
  <si>
    <t>015-0185-19</t>
  </si>
  <si>
    <t>hess.torrie@gmail.com</t>
  </si>
  <si>
    <t>005-0132-19</t>
  </si>
  <si>
    <t>Thomas Frantz</t>
  </si>
  <si>
    <t>highschoolmusicalmaniac@yahoo.com</t>
  </si>
  <si>
    <t>015-0045-20</t>
  </si>
  <si>
    <t>angelfoxtwix@hotmail.com</t>
  </si>
  <si>
    <t>006-0350-20</t>
  </si>
  <si>
    <t>Jaime Claywell Herrera</t>
  </si>
  <si>
    <t>n.meeker123@gmail.com</t>
  </si>
  <si>
    <t>099-0007-16</t>
  </si>
  <si>
    <t>017-0008-14</t>
  </si>
  <si>
    <t>ajmeyers008@gmail.com</t>
  </si>
  <si>
    <t>497-0022-15</t>
  </si>
  <si>
    <t>Steve Neuharth</t>
  </si>
  <si>
    <t>008-0444-17</t>
  </si>
  <si>
    <t>remarkconst@gmail.com</t>
  </si>
  <si>
    <t>001-0099-19</t>
  </si>
  <si>
    <t>samjswiser@gmail.com</t>
  </si>
  <si>
    <t>026-0535-19</t>
  </si>
  <si>
    <t>corytwitchell@gmail.com</t>
  </si>
  <si>
    <t>024-0065-20</t>
  </si>
  <si>
    <t>johnymiller1@gmail.com</t>
  </si>
  <si>
    <t>008-0211-20</t>
  </si>
  <si>
    <t>teagueloren@yahoo.com</t>
  </si>
  <si>
    <t>001-0222-20</t>
  </si>
  <si>
    <t>dsegli66@gmail.com</t>
  </si>
  <si>
    <t>011-0255-20</t>
  </si>
  <si>
    <t>karibank18@gmail.com</t>
  </si>
  <si>
    <t>001-0724-20</t>
  </si>
  <si>
    <t>greghenley44@gmail.com</t>
  </si>
  <si>
    <t>453-0005-21</t>
  </si>
  <si>
    <t>diamondtrans14@gmail.com</t>
  </si>
  <si>
    <t>481-0013-21</t>
  </si>
  <si>
    <t>Alyson Peters</t>
  </si>
  <si>
    <t>024-0079-14</t>
  </si>
  <si>
    <t>benfagen372@gmail.com</t>
  </si>
  <si>
    <t>011-0134-18</t>
  </si>
  <si>
    <t>ccosborne61@gmail.com</t>
  </si>
  <si>
    <t>013-0261-18</t>
  </si>
  <si>
    <t>007-0077-19</t>
  </si>
  <si>
    <t>April Allen Vo</t>
  </si>
  <si>
    <t>Acekat05@gmail.com</t>
  </si>
  <si>
    <t>011-0092-19</t>
  </si>
  <si>
    <t>Quincy Smith</t>
  </si>
  <si>
    <t>014-0171-19</t>
  </si>
  <si>
    <t>Salama Mufaume</t>
  </si>
  <si>
    <t>emilyahotle@gmail.com</t>
  </si>
  <si>
    <t>026-0547-19</t>
  </si>
  <si>
    <t>Douglas Stromley</t>
  </si>
  <si>
    <t>pawprintsb09@hotmail.com</t>
  </si>
  <si>
    <t>496-0054-19</t>
  </si>
  <si>
    <t>007-0222-19</t>
  </si>
  <si>
    <t>christinewhitedec25@gmail.com</t>
  </si>
  <si>
    <t>015-0049-20</t>
  </si>
  <si>
    <t>khailey658@gmail.com</t>
  </si>
  <si>
    <t>015-0240-20</t>
  </si>
  <si>
    <t>Dede Maloy</t>
  </si>
  <si>
    <t>sharonbelseth@live.com</t>
  </si>
  <si>
    <t>065-0019-21</t>
  </si>
  <si>
    <t>mjmanure@tcaexpress.net</t>
  </si>
  <si>
    <t>485-0089-08</t>
  </si>
  <si>
    <t>creswicklela@gmail.com</t>
  </si>
  <si>
    <t>007-0319-17</t>
  </si>
  <si>
    <t>Brittney Gutzmann</t>
  </si>
  <si>
    <t>018-0001-19</t>
  </si>
  <si>
    <t>smithki435@gmail.com</t>
  </si>
  <si>
    <t>042-0160-19</t>
  </si>
  <si>
    <t>beverly219@gmail.com</t>
  </si>
  <si>
    <t>026-0232-20</t>
  </si>
  <si>
    <t>naezhawnc@gmail.com</t>
  </si>
  <si>
    <t>015-0375-20</t>
  </si>
  <si>
    <t>Lisa Worden</t>
  </si>
  <si>
    <t>tricey.pw@gmail.com</t>
  </si>
  <si>
    <t>485-0006-11</t>
  </si>
  <si>
    <t>008-0150-18</t>
  </si>
  <si>
    <t>485-0060-18</t>
  </si>
  <si>
    <t>Steven Bunn</t>
  </si>
  <si>
    <t>michaelhitchcock2002@gmail.com</t>
  </si>
  <si>
    <t>026-0053-19</t>
  </si>
  <si>
    <t>cheyennebarker@gmail.com</t>
  </si>
  <si>
    <t>013-0070-19</t>
  </si>
  <si>
    <t>johnstonnatalie032518@gmail.com</t>
  </si>
  <si>
    <t>011-0114-19</t>
  </si>
  <si>
    <t>Rebecca Luers</t>
  </si>
  <si>
    <t>008-0424-19</t>
  </si>
  <si>
    <t>blliottcl@wloo.org</t>
  </si>
  <si>
    <t>007-0108-20</t>
  </si>
  <si>
    <t>roxiejensen52@gmail.com</t>
  </si>
  <si>
    <t>014-0395-20</t>
  </si>
  <si>
    <t>011-0138-21</t>
  </si>
  <si>
    <t>garyrayburn820@gmail.com</t>
  </si>
  <si>
    <t>013-0052-19</t>
  </si>
  <si>
    <t>002-0069-19</t>
  </si>
  <si>
    <t>DVRS CBLcouns</t>
  </si>
  <si>
    <t>026-0555-19</t>
  </si>
  <si>
    <t>001-0601-20</t>
  </si>
  <si>
    <t>Jennifer Nuss</t>
  </si>
  <si>
    <t>014-0231-21</t>
  </si>
  <si>
    <t>008-0360-12</t>
  </si>
  <si>
    <t>008-0177-15</t>
  </si>
  <si>
    <t>014-0108-16</t>
  </si>
  <si>
    <t>008-0266-16</t>
  </si>
  <si>
    <t>jadem1189@gmail.com</t>
  </si>
  <si>
    <t>008-0204-18</t>
  </si>
  <si>
    <t>025-0062-18</t>
  </si>
  <si>
    <t>Tara Coder</t>
  </si>
  <si>
    <t>jblazek110@gmail.com</t>
  </si>
  <si>
    <t>007-0159-18</t>
  </si>
  <si>
    <t>Lori Kolbeck</t>
  </si>
  <si>
    <t>008-0252-18</t>
  </si>
  <si>
    <t>014-0347-18</t>
  </si>
  <si>
    <t>kriswintersfultz@gmail.com</t>
  </si>
  <si>
    <t>015-0137-19</t>
  </si>
  <si>
    <t>024-0119-19</t>
  </si>
  <si>
    <t>aqcompton02@gmail.com</t>
  </si>
  <si>
    <t>008-0263-19</t>
  </si>
  <si>
    <t>19andvan@gmail.com</t>
  </si>
  <si>
    <t>015-0200-19</t>
  </si>
  <si>
    <t>ravenduster44@yahoo.com</t>
  </si>
  <si>
    <t>015-0201-19</t>
  </si>
  <si>
    <t>kfox1924@gmail.com</t>
  </si>
  <si>
    <t>025-0046-19</t>
  </si>
  <si>
    <t>cbuckner2014@hotmail.com</t>
  </si>
  <si>
    <t>332-0079-19</t>
  </si>
  <si>
    <t>026-0623-19</t>
  </si>
  <si>
    <t>092-0004-20</t>
  </si>
  <si>
    <t>008-0068-20</t>
  </si>
  <si>
    <t>softballmom52013@gmail.com</t>
  </si>
  <si>
    <t>024-0039-20</t>
  </si>
  <si>
    <t>aryen.lawson@gmail.com</t>
  </si>
  <si>
    <t>006-0094-20</t>
  </si>
  <si>
    <t>michael_vanderhyde@stu.indianhills.edu</t>
  </si>
  <si>
    <t>008-0212-20</t>
  </si>
  <si>
    <t>571-0027-20</t>
  </si>
  <si>
    <t>missdvary@gmail.com</t>
  </si>
  <si>
    <t>024-0017-21</t>
  </si>
  <si>
    <t>joleendietz1@gmail.com</t>
  </si>
  <si>
    <t>026-0215-21</t>
  </si>
  <si>
    <t>paigewickam28@gmail.com</t>
  </si>
  <si>
    <t>008-0189-21</t>
  </si>
  <si>
    <t>1forall@usa.com</t>
  </si>
  <si>
    <t>009-0051-21</t>
  </si>
  <si>
    <t>dwightjkelley@gmail.com</t>
  </si>
  <si>
    <t>001-0290-16</t>
  </si>
  <si>
    <t>aunt_t_t@fmtcs.com</t>
  </si>
  <si>
    <t>005-0089-17</t>
  </si>
  <si>
    <t>006-0019-19</t>
  </si>
  <si>
    <t>markglandon@gmail.com</t>
  </si>
  <si>
    <t>006-0176-19</t>
  </si>
  <si>
    <t>shamekamccain@yahoo.com</t>
  </si>
  <si>
    <t>006-0119-20</t>
  </si>
  <si>
    <t>026-0424-20</t>
  </si>
  <si>
    <t>april_barnes_pubbles@hotmail.com</t>
  </si>
  <si>
    <t>005-0164-20</t>
  </si>
  <si>
    <t>halloweensue13@yahoo.com</t>
  </si>
  <si>
    <t>011-0051-21</t>
  </si>
  <si>
    <t>annekeppner@gmail.com</t>
  </si>
  <si>
    <t>573-0001-98</t>
  </si>
  <si>
    <t>Elizabeth Van Auwelaer</t>
  </si>
  <si>
    <t>sjbarker97@yahoo.com</t>
  </si>
  <si>
    <t>015-0332-16</t>
  </si>
  <si>
    <t>fallinan@niacc.edu</t>
  </si>
  <si>
    <t>008-0281-16</t>
  </si>
  <si>
    <t>eldon.jackvanhorn@gmail.com</t>
  </si>
  <si>
    <t>042-0142-16</t>
  </si>
  <si>
    <t>481-0042-19</t>
  </si>
  <si>
    <t>001-0367-19</t>
  </si>
  <si>
    <t>Anna Antons</t>
  </si>
  <si>
    <t>deangreg27@gmail.com</t>
  </si>
  <si>
    <t>026-0527-19</t>
  </si>
  <si>
    <t>swessingerm@gmail.com</t>
  </si>
  <si>
    <t>007-0037-20</t>
  </si>
  <si>
    <t>ebeypapy@gmail.com</t>
  </si>
  <si>
    <t>008-0145-20</t>
  </si>
  <si>
    <t>ted.cd69@gmail.com</t>
  </si>
  <si>
    <t>042-0209-20</t>
  </si>
  <si>
    <t>015-0332-20</t>
  </si>
  <si>
    <t>Krischarlson37@gmail.com</t>
  </si>
  <si>
    <t>015-0360-20</t>
  </si>
  <si>
    <t>Colleen Dahle</t>
  </si>
  <si>
    <t>gjohnson23404@my.niacc.edu</t>
  </si>
  <si>
    <t>026-0350-21</t>
  </si>
  <si>
    <t>Courtney Anderson</t>
  </si>
  <si>
    <t>jameskellydrywall71@gmail.com</t>
  </si>
  <si>
    <t>006-0224-21</t>
  </si>
  <si>
    <t>sydness@msn.com</t>
  </si>
  <si>
    <t>042-0121-21</t>
  </si>
  <si>
    <t>026-0436-15</t>
  </si>
  <si>
    <t>darcykay915@gmail.com</t>
  </si>
  <si>
    <t>001-0333-16</t>
  </si>
  <si>
    <t>ajrichard999@gmail.com</t>
  </si>
  <si>
    <t>011-0269-17</t>
  </si>
  <si>
    <t>zachdahl@hotmail.com</t>
  </si>
  <si>
    <t>024-0007-18</t>
  </si>
  <si>
    <t>mmarion2@dmacc.edu</t>
  </si>
  <si>
    <t>015-0036-19</t>
  </si>
  <si>
    <t>orozcosamara550@gmail.com</t>
  </si>
  <si>
    <t>002-0043-19</t>
  </si>
  <si>
    <t>481-0043-19</t>
  </si>
  <si>
    <t>scottandbeth0224@hotmail.com</t>
  </si>
  <si>
    <t>011-0169-19</t>
  </si>
  <si>
    <t>015-0071-20</t>
  </si>
  <si>
    <t>chunks2189@gmail.com</t>
  </si>
  <si>
    <t>011-0061-20</t>
  </si>
  <si>
    <t>alexisrhoer@gmail.com</t>
  </si>
  <si>
    <t>002-0123-20</t>
  </si>
  <si>
    <t>Shayla Stater</t>
  </si>
  <si>
    <t>tracyannolesen@gmail.com</t>
  </si>
  <si>
    <t>042-0207-20</t>
  </si>
  <si>
    <t>susan.lurvey48@yahoo.com</t>
  </si>
  <si>
    <t>011-0127-21</t>
  </si>
  <si>
    <t>kristen78@yahoo.com</t>
  </si>
  <si>
    <t>099-0030-13</t>
  </si>
  <si>
    <t>Patricia Cady</t>
  </si>
  <si>
    <t>026-0234-16</t>
  </si>
  <si>
    <t>026-0348-16</t>
  </si>
  <si>
    <t>495-0030-18</t>
  </si>
  <si>
    <t>amberlouise16@icloud.com</t>
  </si>
  <si>
    <t>006-0162-19</t>
  </si>
  <si>
    <t>Danny Simonson</t>
  </si>
  <si>
    <t>jl.12@aol.com</t>
  </si>
  <si>
    <t>015-0068-20</t>
  </si>
  <si>
    <t>lynchjim311@gmail.com</t>
  </si>
  <si>
    <t>015-0092-20</t>
  </si>
  <si>
    <t>denches@mchsi.com</t>
  </si>
  <si>
    <t>006-0154-20</t>
  </si>
  <si>
    <t>brianfgla@gmail.com</t>
  </si>
  <si>
    <t>006-0397-20</t>
  </si>
  <si>
    <t>cjboranian@gmail.com</t>
  </si>
  <si>
    <t>015-0095-21</t>
  </si>
  <si>
    <t>jtapper67@gmail.com</t>
  </si>
  <si>
    <t>002-0092-21</t>
  </si>
  <si>
    <t>eugenepalen@gmail.com</t>
  </si>
  <si>
    <t>099-0038-21</t>
  </si>
  <si>
    <t>099-0039-21</t>
  </si>
  <si>
    <t>tindall.devin@gmail.com</t>
  </si>
  <si>
    <t>M</t>
  </si>
  <si>
    <t>U</t>
  </si>
  <si>
    <t xml:space="preserve">M </t>
  </si>
  <si>
    <t>D</t>
  </si>
  <si>
    <t>003-0105-18</t>
  </si>
  <si>
    <t>jjemm5mitchells@gmail.com</t>
  </si>
  <si>
    <t>008-0231-13</t>
  </si>
  <si>
    <t>ackelly1997@gmail.com</t>
  </si>
  <si>
    <t>008-0215-19</t>
  </si>
  <si>
    <t>justbeingme719@gmail.com</t>
  </si>
  <si>
    <t>014-0335-16</t>
  </si>
  <si>
    <t>065-0076-18</t>
  </si>
  <si>
    <t>Lilrinnie1991@gmail.com</t>
  </si>
  <si>
    <t>003-0078-20</t>
  </si>
  <si>
    <t>frogsducks@gmail.com</t>
  </si>
  <si>
    <t>008-0218-18</t>
  </si>
  <si>
    <t>003-0018-19</t>
  </si>
  <si>
    <t>bernardklimas@yahoo.com</t>
  </si>
  <si>
    <t>008-0226-19</t>
  </si>
  <si>
    <t>brandonhaas73@gmail.com</t>
  </si>
  <si>
    <t>026-0050-13</t>
  </si>
  <si>
    <t>026-0507-13</t>
  </si>
  <si>
    <t>msrubicam@dmacc.edu</t>
  </si>
  <si>
    <t>065-0035-18</t>
  </si>
  <si>
    <t>darlamohr26@gmail.com</t>
  </si>
  <si>
    <t>007-0085-20</t>
  </si>
  <si>
    <t>006-0436-10</t>
  </si>
  <si>
    <t>teresa.gelsinger@hotmail.com</t>
  </si>
  <si>
    <t>013-0185-14</t>
  </si>
  <si>
    <t>mking2730@msn.com</t>
  </si>
  <si>
    <t>014-0225-17</t>
  </si>
  <si>
    <t>014-0236-17</t>
  </si>
  <si>
    <t>zachphillips531@gmail.com</t>
  </si>
  <si>
    <t>093-0025-19</t>
  </si>
  <si>
    <t>Steven Lieberherr</t>
  </si>
  <si>
    <t>rhinobuddy123@gmail.com</t>
  </si>
  <si>
    <t>001-0279-19</t>
  </si>
  <si>
    <t>ccmedberry@msn.com</t>
  </si>
  <si>
    <t>013-0271-19</t>
  </si>
  <si>
    <t>superz8856@gmail.com</t>
  </si>
  <si>
    <t>003-0104-20</t>
  </si>
  <si>
    <t>BrownJonathan609@icloud.com</t>
  </si>
  <si>
    <t>015-0028-21</t>
  </si>
  <si>
    <t>paulineramirez72@gmail.com</t>
  </si>
  <si>
    <t>042-0162-15</t>
  </si>
  <si>
    <t>jlh0927@gmail.com</t>
  </si>
  <si>
    <t>001-0173-16</t>
  </si>
  <si>
    <t>Kristi Frohwein</t>
  </si>
  <si>
    <t>dlansing1256@gmail.com</t>
  </si>
  <si>
    <t>024-0024-16</t>
  </si>
  <si>
    <t>017-0030-16</t>
  </si>
  <si>
    <t>penda2014@gmail.com</t>
  </si>
  <si>
    <t>481-0059-17</t>
  </si>
  <si>
    <t>006-0092-19</t>
  </si>
  <si>
    <t>009-0012-19</t>
  </si>
  <si>
    <t>025-0027-19</t>
  </si>
  <si>
    <t>Kelly Stull</t>
  </si>
  <si>
    <t>jessie_hebard@hotmail.com</t>
  </si>
  <si>
    <t>026-0353-19</t>
  </si>
  <si>
    <t>suarez.christian@jdragonmail.us</t>
  </si>
  <si>
    <t>014-0118-20</t>
  </si>
  <si>
    <t>ziskovskym@gmail.com</t>
  </si>
  <si>
    <t>014-0401-19</t>
  </si>
  <si>
    <t>014-0398-20</t>
  </si>
  <si>
    <t>shannak11@gmail.com</t>
  </si>
  <si>
    <t>024-0055-21</t>
  </si>
  <si>
    <t>emily.heldt.runner@gmail.com</t>
  </si>
  <si>
    <t>007-0166-14</t>
  </si>
  <si>
    <t>jcabnet@gmail.com</t>
  </si>
  <si>
    <t>026-0300-14</t>
  </si>
  <si>
    <t>tabathamarie@gmail.com</t>
  </si>
  <si>
    <t>007-0152-18</t>
  </si>
  <si>
    <t>006-0146-19</t>
  </si>
  <si>
    <t>ncimino7@gmail.com</t>
  </si>
  <si>
    <t>005-0105-19</t>
  </si>
  <si>
    <t>002-0021-20</t>
  </si>
  <si>
    <t>dawnvahl@gmail.com</t>
  </si>
  <si>
    <t>001-0088-20</t>
  </si>
  <si>
    <t>americovenuto87@gmail.com</t>
  </si>
  <si>
    <t>013-0096-20</t>
  </si>
  <si>
    <t>Jeanne Helling</t>
  </si>
  <si>
    <t>breckon@mchsi.com</t>
  </si>
  <si>
    <t>093-0044-20</t>
  </si>
  <si>
    <t>deefarrell1955@gmail.com</t>
  </si>
  <si>
    <t>005-0057-20</t>
  </si>
  <si>
    <t>093-0118-20</t>
  </si>
  <si>
    <t>Kayla Baxter</t>
  </si>
  <si>
    <t>008-0539-20</t>
  </si>
  <si>
    <t>pattysutton272@gmail.com</t>
  </si>
  <si>
    <t>014-0358-20</t>
  </si>
  <si>
    <t>093-0127-20</t>
  </si>
  <si>
    <t>hael89_06@yahoo.com</t>
  </si>
  <si>
    <t>099-0026-21</t>
  </si>
  <si>
    <t>005-0056-21</t>
  </si>
  <si>
    <t>somvongpamela@gmail.com</t>
  </si>
  <si>
    <t>014-0156-21</t>
  </si>
  <si>
    <t>jjbooms1@gmail.com</t>
  </si>
  <si>
    <t>014-0031-17</t>
  </si>
  <si>
    <t>abbi-crane@uiowa.edu</t>
  </si>
  <si>
    <t>007-0172-17</t>
  </si>
  <si>
    <t>026-0579-17</t>
  </si>
  <si>
    <t>davidjrjones2000@gmail.com</t>
  </si>
  <si>
    <t>015-0058-18</t>
  </si>
  <si>
    <t>024-0047-18</t>
  </si>
  <si>
    <t>rebeccalhedlund@gmail.com</t>
  </si>
  <si>
    <t>092-0023-18</t>
  </si>
  <si>
    <t>dnicks@midlands.net</t>
  </si>
  <si>
    <t>078-0044-18</t>
  </si>
  <si>
    <t>jlhcrschagt@msn.com</t>
  </si>
  <si>
    <t>078-0099-18</t>
  </si>
  <si>
    <t>078-0102-18</t>
  </si>
  <si>
    <t>008-0045-19</t>
  </si>
  <si>
    <t>026-0528-19</t>
  </si>
  <si>
    <t>mr.gaston419@gmail.com</t>
  </si>
  <si>
    <t>008-0416-19</t>
  </si>
  <si>
    <t>aliyahdorn2002@gmail.com</t>
  </si>
  <si>
    <t>007-0013-20</t>
  </si>
  <si>
    <t>093-0017-20</t>
  </si>
  <si>
    <t>melannmcelroy@gmail.com</t>
  </si>
  <si>
    <t>099-0010-20</t>
  </si>
  <si>
    <t>hunterbuhs12@gmail.com</t>
  </si>
  <si>
    <t>007-0064-20</t>
  </si>
  <si>
    <t>011-0254-20</t>
  </si>
  <si>
    <t>astanna8108@gmail.com</t>
  </si>
  <si>
    <t>002-0371-20</t>
  </si>
  <si>
    <t>laynehekter@gmail.com</t>
  </si>
  <si>
    <t>006-0295-21</t>
  </si>
  <si>
    <t>marchgraham35@gmail.com</t>
  </si>
  <si>
    <t>574-0076-13</t>
  </si>
  <si>
    <t>bsdenmark@netins.net</t>
  </si>
  <si>
    <t>026-0003-14</t>
  </si>
  <si>
    <t>klukenbill@dmacc.edu</t>
  </si>
  <si>
    <t>014-0047-15</t>
  </si>
  <si>
    <t>saraakanksha@gmail.com</t>
  </si>
  <si>
    <t>015-0005-19</t>
  </si>
  <si>
    <t>acker.de2677@gmail.com</t>
  </si>
  <si>
    <t>026-0411-19</t>
  </si>
  <si>
    <t>013-0033-20</t>
  </si>
  <si>
    <t>cmarkham86@gmail.com</t>
  </si>
  <si>
    <t>007-0041-20</t>
  </si>
  <si>
    <t>015-0119-20</t>
  </si>
  <si>
    <t>holck7703@gmail.com</t>
  </si>
  <si>
    <t>008-0591-20</t>
  </si>
  <si>
    <t>jcsmock24@gmail.com</t>
  </si>
  <si>
    <t>042-0027-21</t>
  </si>
  <si>
    <t>013-0081-21</t>
  </si>
  <si>
    <t>girlscouts265@gmail.com</t>
  </si>
  <si>
    <t>014-0085-21</t>
  </si>
  <si>
    <t>neverssusan78@yahoo.com</t>
  </si>
  <si>
    <t>015-0132-21</t>
  </si>
  <si>
    <t>arthurmoore2000@outlook.com</t>
  </si>
  <si>
    <t>001-0514-15</t>
  </si>
  <si>
    <t>002-0064-16</t>
  </si>
  <si>
    <t>chris1984ne@gmail.com</t>
  </si>
  <si>
    <t>013-0195-18</t>
  </si>
  <si>
    <t>011-0116-19</t>
  </si>
  <si>
    <t>j.chouinard@live.com</t>
  </si>
  <si>
    <t>014-0132-19</t>
  </si>
  <si>
    <t>002-0178-19</t>
  </si>
  <si>
    <t>Steven Stott</t>
  </si>
  <si>
    <t>springme917@yahoo.com</t>
  </si>
  <si>
    <t>042-0120-19</t>
  </si>
  <si>
    <t>014-0306-19</t>
  </si>
  <si>
    <t>rideonrideon13@gmail.com</t>
  </si>
  <si>
    <t>002-0056-20</t>
  </si>
  <si>
    <t>elliotms@gmail.com</t>
  </si>
  <si>
    <t>001-0226-20</t>
  </si>
  <si>
    <t>finchjohn12300@gmail.com</t>
  </si>
  <si>
    <t>002-0229-19</t>
  </si>
  <si>
    <t>Jennifer Sims</t>
  </si>
  <si>
    <t>026-0238-18</t>
  </si>
  <si>
    <t>dcopelandia@msn.com</t>
  </si>
  <si>
    <t>026-0373-18</t>
  </si>
  <si>
    <t>djbrown13@dmacc.edu</t>
  </si>
  <si>
    <t>099-0011-19</t>
  </si>
  <si>
    <t>ashley.weringa@gmail.com</t>
  </si>
  <si>
    <t>024-0134-19</t>
  </si>
  <si>
    <t>026-0379-20</t>
  </si>
  <si>
    <t>riley.bentzen@mediacombb.net</t>
  </si>
  <si>
    <t>015-0171-20</t>
  </si>
  <si>
    <t>maryahgarlinghouse9@gmail.com</t>
  </si>
  <si>
    <t>005-0152-21</t>
  </si>
  <si>
    <t>lauron.cook@yardex.com</t>
  </si>
  <si>
    <t>496-0068-15</t>
  </si>
  <si>
    <t>497-0027-16</t>
  </si>
  <si>
    <t>damanwells@gmail.com</t>
  </si>
  <si>
    <t>005-0101-16</t>
  </si>
  <si>
    <t>571-0019-17</t>
  </si>
  <si>
    <t>brendagalm@gmail.com</t>
  </si>
  <si>
    <t>026-0530-18</t>
  </si>
  <si>
    <t>2016razor@gmail.com</t>
  </si>
  <si>
    <t>013-0222-19</t>
  </si>
  <si>
    <t>collin.nissen123@gmail.com</t>
  </si>
  <si>
    <t>011-0243-19</t>
  </si>
  <si>
    <t>ealey.kris92657@gmail.com</t>
  </si>
  <si>
    <t>014-0290-20</t>
  </si>
  <si>
    <t>weaveranyah@gmail.com</t>
  </si>
  <si>
    <t>092-0037-21</t>
  </si>
  <si>
    <t>mskatzen2@gmail.com</t>
  </si>
  <si>
    <t>008-0358-13</t>
  </si>
  <si>
    <t>shadowdurza@gmail.com</t>
  </si>
  <si>
    <t>042-0106-16</t>
  </si>
  <si>
    <t>mommajojo2005@yahoo.com</t>
  </si>
  <si>
    <t>011-0085-17</t>
  </si>
  <si>
    <t>Melanie Reed</t>
  </si>
  <si>
    <t>kbenedict@ipgiowa.com</t>
  </si>
  <si>
    <t>011-0113-17</t>
  </si>
  <si>
    <t>jdnshannon@mchsi.com</t>
  </si>
  <si>
    <t>560-0006-17</t>
  </si>
  <si>
    <t>kenzi.harwood@gmail.com</t>
  </si>
  <si>
    <t>002-0116-17</t>
  </si>
  <si>
    <t>008-0193-18</t>
  </si>
  <si>
    <t>jenlee.williamson@yahoo.com</t>
  </si>
  <si>
    <t>562-0008-18</t>
  </si>
  <si>
    <t>Ccmiller15@gmail.com</t>
  </si>
  <si>
    <t>011-0003-19</t>
  </si>
  <si>
    <t>011-0107-19</t>
  </si>
  <si>
    <t>Tyler.Blackburn@columbuscsd.org</t>
  </si>
  <si>
    <t>007-0122-19</t>
  </si>
  <si>
    <t>cmyers629@icloud.com</t>
  </si>
  <si>
    <t>042-0066-19</t>
  </si>
  <si>
    <t>noe.parker@live.jobcorps.org</t>
  </si>
  <si>
    <t>003-0053-20</t>
  </si>
  <si>
    <t>Michael.Adelfio@yahoo.com</t>
  </si>
  <si>
    <t>006-0147-20</t>
  </si>
  <si>
    <t>sasnurse2019@gmail.com</t>
  </si>
  <si>
    <t>042-0025-14</t>
  </si>
  <si>
    <t>005-0144-19</t>
  </si>
  <si>
    <t>jaysondholmes@gmail.com</t>
  </si>
  <si>
    <t>042-0083-16</t>
  </si>
  <si>
    <t>002-0169-19</t>
  </si>
  <si>
    <t>shayestill218@gmail.com</t>
  </si>
  <si>
    <t>001-0448-19</t>
  </si>
  <si>
    <t>meganzirtzman@aol.com</t>
  </si>
  <si>
    <t>026-0109-20</t>
  </si>
  <si>
    <t>austinspencermathias@gmail.com</t>
  </si>
  <si>
    <t>026-0144-20</t>
  </si>
  <si>
    <t>lainarussell192@yahoo.com</t>
  </si>
  <si>
    <t>008-0153-20</t>
  </si>
  <si>
    <t>timhull99@gmail.com</t>
  </si>
  <si>
    <t>007-0034-21</t>
  </si>
  <si>
    <t>sitzmann@aol.com</t>
  </si>
  <si>
    <t>014-0034-21</t>
  </si>
  <si>
    <t>cornwell727@gmail.com</t>
  </si>
  <si>
    <t>002-0067-21</t>
  </si>
  <si>
    <t>aknotek27@gmail.com</t>
  </si>
  <si>
    <t>015-0195-21</t>
  </si>
  <si>
    <t>haley@duncanheights.org</t>
  </si>
  <si>
    <t>001-0169-17</t>
  </si>
  <si>
    <t>Vicki Daugherty</t>
  </si>
  <si>
    <t>jomcb74@yahoo.com</t>
  </si>
  <si>
    <t>015-0093-18</t>
  </si>
  <si>
    <t>mcathleen039@gmail.com</t>
  </si>
  <si>
    <t>011-0183-18</t>
  </si>
  <si>
    <t>travis.inghram@icloud.com</t>
  </si>
  <si>
    <t>007-0265-18</t>
  </si>
  <si>
    <t>kevinn707@gmail.com</t>
  </si>
  <si>
    <t>026-0208-19</t>
  </si>
  <si>
    <t>042-0147-19</t>
  </si>
  <si>
    <t>Rebekah Traver</t>
  </si>
  <si>
    <t>briannadean6@gmail.com</t>
  </si>
  <si>
    <t>026-0254-20</t>
  </si>
  <si>
    <t>Omar Velazco</t>
  </si>
  <si>
    <t>026-0277-20</t>
  </si>
  <si>
    <t>657433@student.dmschool.org</t>
  </si>
  <si>
    <t>042-0209-19</t>
  </si>
  <si>
    <t>jsmith200275@gmail.com</t>
  </si>
  <si>
    <t>014-0372-20</t>
  </si>
  <si>
    <t>dequanmiles7@gmail.com</t>
  </si>
  <si>
    <t>007-0306-20</t>
  </si>
  <si>
    <t>014-0031-21</t>
  </si>
  <si>
    <t>littlewishingstar@gmail.com</t>
  </si>
  <si>
    <t>571-0032-21</t>
  </si>
  <si>
    <t>Molly Giddings</t>
  </si>
  <si>
    <t>007-0220-17</t>
  </si>
  <si>
    <t>20twaitbre@sblschools.com</t>
  </si>
  <si>
    <t>332-0076-18</t>
  </si>
  <si>
    <t>Katie Shaw</t>
  </si>
  <si>
    <t>078-0022-19</t>
  </si>
  <si>
    <t>schraderkelsie@icloud.com</t>
  </si>
  <si>
    <t>011-0084-19</t>
  </si>
  <si>
    <t>nyegerald4@gmail.com</t>
  </si>
  <si>
    <t>005-0071-19</t>
  </si>
  <si>
    <t>cartergoodell222@gmail.com</t>
  </si>
  <si>
    <t>006-0169-19</t>
  </si>
  <si>
    <t>metcalan@fairfieldsfuture.org</t>
  </si>
  <si>
    <t>026-0432-19</t>
  </si>
  <si>
    <t>026-0505-19</t>
  </si>
  <si>
    <t>dlfolson@gmail.com</t>
  </si>
  <si>
    <t>009-0008-20</t>
  </si>
  <si>
    <t>bradengel27@gmail.com</t>
  </si>
  <si>
    <t>014-0165-20</t>
  </si>
  <si>
    <t>toppklass68@gmail.com</t>
  </si>
  <si>
    <t>001-0206-16</t>
  </si>
  <si>
    <t>zirismom@yahoo.com</t>
  </si>
  <si>
    <t>007-0045-18</t>
  </si>
  <si>
    <t>9kherone@rvcsd.org</t>
  </si>
  <si>
    <t>078-0016-19</t>
  </si>
  <si>
    <t>078-0028-19</t>
  </si>
  <si>
    <t>007-0151-21</t>
  </si>
  <si>
    <t>bmckinsey@gmail.com</t>
  </si>
  <si>
    <t>026-0281-13</t>
  </si>
  <si>
    <t>ali.frana12@gmail.com</t>
  </si>
  <si>
    <t>560-0013-14</t>
  </si>
  <si>
    <t>manderson4287@mtmercy.edu</t>
  </si>
  <si>
    <t>093-0078-15</t>
  </si>
  <si>
    <t>ericakovarik@hotmail.com</t>
  </si>
  <si>
    <t>003-0101-16</t>
  </si>
  <si>
    <t>jccox02@msn.com</t>
  </si>
  <si>
    <t>042-0092-17</t>
  </si>
  <si>
    <t>Tamara Venenga</t>
  </si>
  <si>
    <t>pidgey99@gmail.com</t>
  </si>
  <si>
    <t>042-0099-17</t>
  </si>
  <si>
    <t>minca6955@gmail.com</t>
  </si>
  <si>
    <t>026-0024-18</t>
  </si>
  <si>
    <t>abgcitylights@mediacombb.net</t>
  </si>
  <si>
    <t>026-0037-18</t>
  </si>
  <si>
    <t>nikeyab-elexander@outlook.com</t>
  </si>
  <si>
    <t>008-0216-18</t>
  </si>
  <si>
    <t>hill.matthew@live.jobcorps.org</t>
  </si>
  <si>
    <t>001-0026-20</t>
  </si>
  <si>
    <t>barrhailee1324@gmail.com</t>
  </si>
  <si>
    <t>015-0213-20</t>
  </si>
  <si>
    <t>015-0138-21</t>
  </si>
  <si>
    <t>lettayshine34@gmail.com</t>
  </si>
  <si>
    <t>011-0282-15</t>
  </si>
  <si>
    <t>kmcw.22@gmail.com</t>
  </si>
  <si>
    <t>092-0023-17</t>
  </si>
  <si>
    <t>dakotaleeC2@gmail.com</t>
  </si>
  <si>
    <t>015-0043-19</t>
  </si>
  <si>
    <t>009-0027-19</t>
  </si>
  <si>
    <t>015-0319-19</t>
  </si>
  <si>
    <t>cmreibsamen@gmail.com</t>
  </si>
  <si>
    <t>485-0089-19</t>
  </si>
  <si>
    <t>stagesuzie7@gmail.com</t>
  </si>
  <si>
    <t>015-0024-20</t>
  </si>
  <si>
    <t>kslotness1@msn.com</t>
  </si>
  <si>
    <t>009-0025-20</t>
  </si>
  <si>
    <t>aagarcia2018@gmail.com</t>
  </si>
  <si>
    <t>078-0039-21</t>
  </si>
  <si>
    <t>syndey.hinners@csd.org</t>
  </si>
  <si>
    <t>042-0042-15</t>
  </si>
  <si>
    <t>008-0078-17</t>
  </si>
  <si>
    <t>alexis-eick@student.kirkwood.edu</t>
  </si>
  <si>
    <t>024-0072-17</t>
  </si>
  <si>
    <t>Buckelsbury@gmail.com</t>
  </si>
  <si>
    <t>007-0038-18</t>
  </si>
  <si>
    <t>011-0148-18</t>
  </si>
  <si>
    <t>011-0162-18</t>
  </si>
  <si>
    <t>Draketimmerman@wapellocsd.org</t>
  </si>
  <si>
    <t>002-0282-18</t>
  </si>
  <si>
    <t>lwood479@gmail.com</t>
  </si>
  <si>
    <t>026-0308-20</t>
  </si>
  <si>
    <t>Kensie Channon</t>
  </si>
  <si>
    <t>ryanlivesforjesuschrist77@gmail.com</t>
  </si>
  <si>
    <t>007-0115-20</t>
  </si>
  <si>
    <t>mistymothershead@yahoo.com</t>
  </si>
  <si>
    <t>026-0815-20</t>
  </si>
  <si>
    <t>sbolden767@gmail.com</t>
  </si>
  <si>
    <t>026-0299-21</t>
  </si>
  <si>
    <t>hdadsandblom@icloud.com</t>
  </si>
  <si>
    <t>009-0050-21</t>
  </si>
  <si>
    <t>hollymcclain001@gmail.com</t>
  </si>
  <si>
    <t>011-0032-17</t>
  </si>
  <si>
    <t>qrewing@scciowa.edu</t>
  </si>
  <si>
    <t>011-0130-19</t>
  </si>
  <si>
    <t>cojames748@gmail.com</t>
  </si>
  <si>
    <t>026-0336-19</t>
  </si>
  <si>
    <t>katiemehle86@gmail.com</t>
  </si>
  <si>
    <t>332-0039-20</t>
  </si>
  <si>
    <t>gardner.amy31@gmail.com</t>
  </si>
  <si>
    <t>026-0361-20</t>
  </si>
  <si>
    <t>lakers8242387@gmail.com</t>
  </si>
  <si>
    <t>008-0543-20</t>
  </si>
  <si>
    <t>autumnmangine@yahoo.com</t>
  </si>
  <si>
    <t>011-0270-20</t>
  </si>
  <si>
    <t>rmarkey329@icloud.com</t>
  </si>
  <si>
    <t>005-0049-21</t>
  </si>
  <si>
    <t>006-0009-13</t>
  </si>
  <si>
    <t>Nicole Breckenridge</t>
  </si>
  <si>
    <t>zaytinker1996@gmail.com</t>
  </si>
  <si>
    <t>571-0006-15</t>
  </si>
  <si>
    <t>emilyann87@hotmail.com</t>
  </si>
  <si>
    <t>026-0048-16</t>
  </si>
  <si>
    <t>jadaefronsmith@icloud.com</t>
  </si>
  <si>
    <t>002-0022-16</t>
  </si>
  <si>
    <t>joshua.hoeft8@gmail.com</t>
  </si>
  <si>
    <t>015-0254-16</t>
  </si>
  <si>
    <t>saaloghome@frontiernet.net</t>
  </si>
  <si>
    <t>025-0064-16</t>
  </si>
  <si>
    <t>026-0244-17</t>
  </si>
  <si>
    <t>mckeehan.spragg@gmail.com</t>
  </si>
  <si>
    <t>332-0066-17</t>
  </si>
  <si>
    <t>coltenhunter2000@gmail.com</t>
  </si>
  <si>
    <t>026-0629-17</t>
  </si>
  <si>
    <t>mackenziereese2114@gmail.com</t>
  </si>
  <si>
    <t>006-0011-18</t>
  </si>
  <si>
    <t>Kelli Hugo</t>
  </si>
  <si>
    <t>026-0312-18</t>
  </si>
  <si>
    <t>ralivingthedream@gmail.com</t>
  </si>
  <si>
    <t>026-0106-19</t>
  </si>
  <si>
    <t>HannahMryan17@gmail.com</t>
  </si>
  <si>
    <t>496-0033-19</t>
  </si>
  <si>
    <t>connorouting@yahoo.com</t>
  </si>
  <si>
    <t>026-0417-19</t>
  </si>
  <si>
    <t>Alivia Nelson</t>
  </si>
  <si>
    <t>015-0209-19</t>
  </si>
  <si>
    <t>diane0097@gmail.com</t>
  </si>
  <si>
    <t>007-0029-20</t>
  </si>
  <si>
    <t>shannondeppe9@gmail.com</t>
  </si>
  <si>
    <t>006-0097-21</t>
  </si>
  <si>
    <t>Morgan Schubert</t>
  </si>
  <si>
    <t>j.rietveld56@gmail.com</t>
  </si>
  <si>
    <t>009-0054-21</t>
  </si>
  <si>
    <t>andersonmw65@gmail.com</t>
  </si>
  <si>
    <t>009-0056-21</t>
  </si>
  <si>
    <t>dan.kelly8656@gmail.com</t>
  </si>
  <si>
    <t>006-0206-18</t>
  </si>
  <si>
    <t>codycarter281.cc@gmail.com</t>
  </si>
  <si>
    <t>026-0474-19</t>
  </si>
  <si>
    <t>justoncam99@gmail.com</t>
  </si>
  <si>
    <t>008-0235-21</t>
  </si>
  <si>
    <t>015-0059-21</t>
  </si>
  <si>
    <t>003-0163-21</t>
  </si>
  <si>
    <t>heather.voigts@gmail.com</t>
  </si>
  <si>
    <t>008-0063-20</t>
  </si>
  <si>
    <t>453-0022-19</t>
  </si>
  <si>
    <t>ciaraschwandke@gmail.com</t>
  </si>
  <si>
    <t>007-0087-20</t>
  </si>
  <si>
    <t>485-0025-21</t>
  </si>
  <si>
    <t>gabe.gardner2001@gmail.com</t>
  </si>
  <si>
    <t>078-0039-19</t>
  </si>
  <si>
    <t>026-0021-14</t>
  </si>
  <si>
    <t>kksinn@dmacc.edu</t>
  </si>
  <si>
    <t>007-0068-17</t>
  </si>
  <si>
    <t>christoffers718@gmail.com</t>
  </si>
  <si>
    <t>025-0067-19</t>
  </si>
  <si>
    <t>williejomartin@gmail.com</t>
  </si>
  <si>
    <t>026-0186-20</t>
  </si>
  <si>
    <t>meadmadelyn@gmail.com</t>
  </si>
  <si>
    <t>013-0380-20</t>
  </si>
  <si>
    <t>jengelk@aol.com</t>
  </si>
  <si>
    <t>006-0150-18</t>
  </si>
  <si>
    <t>champlinbrandon17@gmail.com</t>
  </si>
  <si>
    <t>496-0064-18</t>
  </si>
  <si>
    <t>4cylinders22@gmail.com</t>
  </si>
  <si>
    <t>026-0576-21</t>
  </si>
  <si>
    <t>lopezwalter965@gmail.com</t>
  </si>
  <si>
    <t>026-0544-18</t>
  </si>
  <si>
    <t>Kristylile@gmail.com</t>
  </si>
  <si>
    <t>024-0135-18</t>
  </si>
  <si>
    <t>pintaj2001@gmail.com</t>
  </si>
  <si>
    <t>026-0094-16</t>
  </si>
  <si>
    <t>ian.lahmann@gmail.com</t>
  </si>
  <si>
    <t>008-0062-17</t>
  </si>
  <si>
    <t>lane.kahler16@gmail.com</t>
  </si>
  <si>
    <t>013-0004-17</t>
  </si>
  <si>
    <t>pierceshaquina10@gmail.com</t>
  </si>
  <si>
    <t>065-0133-14</t>
  </si>
  <si>
    <t>halliejades18@gmail.com</t>
  </si>
  <si>
    <t>078-0033-17</t>
  </si>
  <si>
    <t>franniebritton99@yahoo.com</t>
  </si>
  <si>
    <t>014-0105-18</t>
  </si>
  <si>
    <t>nevin_herman@yahoo.com</t>
  </si>
  <si>
    <t>018-0006-18</t>
  </si>
  <si>
    <t>midnit_angel13@yahoo.com</t>
  </si>
  <si>
    <t>571-0001-17</t>
  </si>
  <si>
    <t>026-0428-12</t>
  </si>
  <si>
    <t>ssnookarmstrong@gmail.com</t>
  </si>
  <si>
    <t>015-0021-20</t>
  </si>
  <si>
    <t>edeelynn.foell@gmail.com</t>
  </si>
  <si>
    <t>003-0075-20</t>
  </si>
  <si>
    <t>026-0029-21</t>
  </si>
  <si>
    <t>masterfatcat7@gmail.com</t>
  </si>
  <si>
    <t>008-0258-16</t>
  </si>
  <si>
    <t>015-0460-15</t>
  </si>
  <si>
    <t>jordanlhamann97@comcast.net</t>
  </si>
  <si>
    <t>014-0095-19</t>
  </si>
  <si>
    <t>weathersbykarran@gmail.com</t>
  </si>
  <si>
    <t>026-0539-17</t>
  </si>
  <si>
    <t>maribelcvq@hotmail.com</t>
  </si>
  <si>
    <t>001-0109-18</t>
  </si>
  <si>
    <t>008-0438-13</t>
  </si>
  <si>
    <t>t.eggleston208@gmail.com</t>
  </si>
  <si>
    <t>013-0272-17</t>
  </si>
  <si>
    <t>kmichels2013@yahoo.com</t>
  </si>
  <si>
    <t>014-0401-20</t>
  </si>
  <si>
    <t>knpetez17@cs.com</t>
  </si>
  <si>
    <t>014-0124-20</t>
  </si>
  <si>
    <t>lauriemiller294@gmail.com</t>
  </si>
  <si>
    <t>065-0065-18</t>
  </si>
  <si>
    <t>011-0144-17</t>
  </si>
  <si>
    <t>samus2098@gmail.com</t>
  </si>
  <si>
    <t>001-0273-19</t>
  </si>
  <si>
    <t>cameronjunge9@gmail.com</t>
  </si>
  <si>
    <t>009-0063-21</t>
  </si>
  <si>
    <t>dsharris204@gmail.com</t>
  </si>
  <si>
    <t>025-0038-18</t>
  </si>
  <si>
    <t>brownkaren1965@gmail.com</t>
  </si>
  <si>
    <t>453-0030-20</t>
  </si>
  <si>
    <t>michanay5@yahoo.com</t>
  </si>
  <si>
    <t>481-0046-19</t>
  </si>
  <si>
    <t>nmeinders01@gmail.com</t>
  </si>
  <si>
    <t>078-0089-13</t>
  </si>
  <si>
    <t>006-1391-09</t>
  </si>
  <si>
    <t>bryanspencerlarue@gmail.com</t>
  </si>
  <si>
    <t>570-0012-15</t>
  </si>
  <si>
    <t>dejionette@hotmail.com</t>
  </si>
  <si>
    <t>011-0251-19</t>
  </si>
  <si>
    <t>007-0057-20</t>
  </si>
  <si>
    <t>johnsk20@live.siouxcityschools.com</t>
  </si>
  <si>
    <t>008-0139-21</t>
  </si>
  <si>
    <t>abrinyark5@gmail.com</t>
  </si>
  <si>
    <t>024-0021-18</t>
  </si>
  <si>
    <t>mkoudelka21@yahoo.com</t>
  </si>
  <si>
    <t>026-0543-17</t>
  </si>
  <si>
    <t>odettemfoster0407@gmail.com</t>
  </si>
  <si>
    <t>013-0122-20</t>
  </si>
  <si>
    <t>dburroughs181@gmail.com</t>
  </si>
  <si>
    <t>001-0328-19</t>
  </si>
  <si>
    <t>garybrinkmann@hotmail.com</t>
  </si>
  <si>
    <t>026-0247-19</t>
  </si>
  <si>
    <t>carsmac02@yahoo.com</t>
  </si>
  <si>
    <t>025-0031-20</t>
  </si>
  <si>
    <t>Sally Rolf</t>
  </si>
  <si>
    <t>rachelgregg1125@gmail.com</t>
  </si>
  <si>
    <t>014-0128-21</t>
  </si>
  <si>
    <t>oliviagraceelmore@gmail.com</t>
  </si>
  <si>
    <t>092-0018-20</t>
  </si>
  <si>
    <t>codyludwig03@gmail.com</t>
  </si>
  <si>
    <t>008-0314-21</t>
  </si>
  <si>
    <t>dolan0123@msn.com</t>
  </si>
  <si>
    <t>003-0096-20</t>
  </si>
  <si>
    <t>tayloranthony@gmail.com</t>
  </si>
  <si>
    <t>007-0107-20</t>
  </si>
  <si>
    <t>dholsinger1961@gmail.com</t>
  </si>
  <si>
    <t>013-0105-18</t>
  </si>
  <si>
    <t>radmajor@msn.com</t>
  </si>
  <si>
    <t>453-0021-20</t>
  </si>
  <si>
    <t>dietzchad@hotmail.com</t>
  </si>
  <si>
    <t>001-0546-20</t>
  </si>
  <si>
    <t>maddykuncel@gmail.com</t>
  </si>
  <si>
    <t>001-0221-18</t>
  </si>
  <si>
    <t>ronald61670@gmail.com</t>
  </si>
  <si>
    <t>013-0229-12</t>
  </si>
  <si>
    <t>connormarty@icloud.com</t>
  </si>
  <si>
    <t>001-0278-18</t>
  </si>
  <si>
    <t>014-0035-18</t>
  </si>
  <si>
    <t>jrfarmer2@hotmail.com</t>
  </si>
  <si>
    <t>011-0250-20</t>
  </si>
  <si>
    <t>debkgriffin@hotmail.com</t>
  </si>
  <si>
    <t>008-0332-17</t>
  </si>
  <si>
    <t>jamal10holmes@gmail.com</t>
  </si>
  <si>
    <t>008-0401-18</t>
  </si>
  <si>
    <t>026-0045-16</t>
  </si>
  <si>
    <t>peterpetals92@gmail.com</t>
  </si>
  <si>
    <t>025-0061-19</t>
  </si>
  <si>
    <t>013-0021-14</t>
  </si>
  <si>
    <t>ostwinklee@gmail.com</t>
  </si>
  <si>
    <t>485-0077-17</t>
  </si>
  <si>
    <t>etanner82@gmail.com</t>
  </si>
  <si>
    <t>496-1004-09</t>
  </si>
  <si>
    <t>kaallends@gmail.com</t>
  </si>
  <si>
    <t>014-0207-20</t>
  </si>
  <si>
    <t>u2krusers@aol.com</t>
  </si>
  <si>
    <t>014-0159-20</t>
  </si>
  <si>
    <t>astevens4098@gmail.com</t>
  </si>
  <si>
    <t>003-0070-18</t>
  </si>
  <si>
    <t>nickdoro187@gmail.com</t>
  </si>
  <si>
    <t>014-0281-21</t>
  </si>
  <si>
    <t>dhess_81@yahoo.com</t>
  </si>
  <si>
    <t>008-0066-21</t>
  </si>
  <si>
    <t>015-0362-20</t>
  </si>
  <si>
    <t>tempusm@yahoo.com</t>
  </si>
  <si>
    <t>026-0218-15</t>
  </si>
  <si>
    <t>bahrbrad@gmail.com</t>
  </si>
  <si>
    <t>013-0366-21</t>
  </si>
  <si>
    <t>torreyt1969@gmail.com</t>
  </si>
  <si>
    <t>481-0016-21</t>
  </si>
  <si>
    <t>danicareid654@gmail.com</t>
  </si>
  <si>
    <t>015-0022-19</t>
  </si>
  <si>
    <t>jahmed123@gmail.com</t>
  </si>
  <si>
    <t>013-0091-17</t>
  </si>
  <si>
    <t>015-0145-17</t>
  </si>
  <si>
    <t>gabeclarke01@gmail.com</t>
  </si>
  <si>
    <t>014-0119-21</t>
  </si>
  <si>
    <t>melissaannshirk@gmail.com</t>
  </si>
  <si>
    <t>571-0023-14</t>
  </si>
  <si>
    <t>anessaopsahl@gmail.com</t>
  </si>
  <si>
    <t>006-0030-16</t>
  </si>
  <si>
    <t>kjrboom@gmail.com</t>
  </si>
  <si>
    <t>015-0277-18</t>
  </si>
  <si>
    <t>roneynic13@gmail.com</t>
  </si>
  <si>
    <t>002-0112-20</t>
  </si>
  <si>
    <t>026-0030-18</t>
  </si>
  <si>
    <t>006-0477-21</t>
  </si>
  <si>
    <t>lcarr53@hotmail.com</t>
  </si>
  <si>
    <t>007-0009-18</t>
  </si>
  <si>
    <t>025-0068-19</t>
  </si>
  <si>
    <t>Marcy Edwards</t>
  </si>
  <si>
    <t>cameoofcamelot@gmail.com</t>
  </si>
  <si>
    <t>026-0433-12</t>
  </si>
  <si>
    <t>rgoodall1223@outlook.com</t>
  </si>
  <si>
    <t>001-0469-17</t>
  </si>
  <si>
    <t>trevorpenuel21@gmail.com</t>
  </si>
  <si>
    <t>026-0377-18</t>
  </si>
  <si>
    <t>sfcdgraham@yahoo.com</t>
  </si>
  <si>
    <t>001-0445-17</t>
  </si>
  <si>
    <t>tammy.creque@yahoo.com</t>
  </si>
  <si>
    <t>015-0092-19</t>
  </si>
  <si>
    <t>Kelsey Oliver</t>
  </si>
  <si>
    <t>tlancaster3611@gmail.com</t>
  </si>
  <si>
    <t>006-0154-21</t>
  </si>
  <si>
    <t>lovedbygrace99@gmail.com</t>
  </si>
  <si>
    <t>092-0037-19</t>
  </si>
  <si>
    <t>026-0298-20</t>
  </si>
  <si>
    <t>gkjbpalmer@msn.com</t>
  </si>
  <si>
    <t>008-0264-18</t>
  </si>
  <si>
    <t>lucas.dawson30@gmail.com</t>
  </si>
  <si>
    <t>006-0472-20</t>
  </si>
  <si>
    <t>026-0086-17</t>
  </si>
  <si>
    <t>007-0091-18</t>
  </si>
  <si>
    <t>moraeen@gmail.com</t>
  </si>
  <si>
    <t>013-0024-19</t>
  </si>
  <si>
    <t>wiggy8mcjiggy@gmail.com</t>
  </si>
  <si>
    <t>026-0474-16</t>
  </si>
  <si>
    <t>Debc@VNSIA.org</t>
  </si>
  <si>
    <t>014-0216-20</t>
  </si>
  <si>
    <t>janepalmer.reach@gmail.com</t>
  </si>
  <si>
    <t>011-0380-19</t>
  </si>
  <si>
    <t>9lizzy24@gmail.com</t>
  </si>
  <si>
    <t>014-0002-18</t>
  </si>
  <si>
    <t>Paula Hill</t>
  </si>
  <si>
    <t>Jonesdaniele90@gmail.com</t>
  </si>
  <si>
    <t>078-0080-18</t>
  </si>
  <si>
    <t>014-0172-15</t>
  </si>
  <si>
    <t>eleganceontheedge@gmail.com</t>
  </si>
  <si>
    <t>092-0023-21</t>
  </si>
  <si>
    <t>j73rentsch@gmail.com</t>
  </si>
  <si>
    <t>008-0259-20</t>
  </si>
  <si>
    <t>berganrae@gmail.com</t>
  </si>
  <si>
    <t>001-0041-20</t>
  </si>
  <si>
    <t>008-0177-21</t>
  </si>
  <si>
    <t>jonnylund33@gmail.com</t>
  </si>
  <si>
    <t>024-0022-20</t>
  </si>
  <si>
    <t>busta.jerry@gmail.com</t>
  </si>
  <si>
    <t>011-0071-21</t>
  </si>
  <si>
    <t>001-0434-19</t>
  </si>
  <si>
    <t>spahn618@gmail.com</t>
  </si>
  <si>
    <t>005-0049-14</t>
  </si>
  <si>
    <t>leahhelvik@gmail.com</t>
  </si>
  <si>
    <t>008-0400-19</t>
  </si>
  <si>
    <t>zurian694@gmail.com</t>
  </si>
  <si>
    <t>007-0169-19</t>
  </si>
  <si>
    <t>ryand20@live.siouxcityschools.com</t>
  </si>
  <si>
    <t>002-0046-20</t>
  </si>
  <si>
    <t>amandamarek38@msn.com</t>
  </si>
  <si>
    <t>007-0287-20</t>
  </si>
  <si>
    <t>dweiler720@gmail.com</t>
  </si>
  <si>
    <t>008-0123-18</t>
  </si>
  <si>
    <t>adijan123@gmail.com</t>
  </si>
  <si>
    <t>026-0041-15</t>
  </si>
  <si>
    <t>006-0341-21</t>
  </si>
  <si>
    <t>001-0136-20</t>
  </si>
  <si>
    <t>brian.jarnagin@gmail.com</t>
  </si>
  <si>
    <t>006-0093-20</t>
  </si>
  <si>
    <t>pamj761967@gmail.com</t>
  </si>
  <si>
    <t>014-0367-16</t>
  </si>
  <si>
    <t>frederich-quelle@uiowa.edu</t>
  </si>
  <si>
    <t>003-0153-19</t>
  </si>
  <si>
    <t>skyebrat10@gmail.com</t>
  </si>
  <si>
    <t>003-0033-19</t>
  </si>
  <si>
    <t>claytonjohnson45@yahoo.com</t>
  </si>
  <si>
    <t>005-0174-20</t>
  </si>
  <si>
    <t>026-0291-20</t>
  </si>
  <si>
    <t>jakeherrig12345@gmail.com</t>
  </si>
  <si>
    <t>008-0275-16</t>
  </si>
  <si>
    <t>001-0218-18</t>
  </si>
  <si>
    <t>026-0169-18</t>
  </si>
  <si>
    <t>kjaylen1007ke@gmail.com</t>
  </si>
  <si>
    <t>485-0016-14</t>
  </si>
  <si>
    <t>griffin217@gmail.com</t>
  </si>
  <si>
    <t>033-0009-17</t>
  </si>
  <si>
    <t>radams2017@gmail.com</t>
  </si>
  <si>
    <t>332-0058-20</t>
  </si>
  <si>
    <t>jennifiermears1222@gmail.com</t>
  </si>
  <si>
    <t>026-0149-18</t>
  </si>
  <si>
    <t>toshscott@ymail.com</t>
  </si>
  <si>
    <t>008-0256-20</t>
  </si>
  <si>
    <t>georgefx69@gmail.com</t>
  </si>
  <si>
    <t>093-0038-20</t>
  </si>
  <si>
    <t>al2669828@gmail.com</t>
  </si>
  <si>
    <t>003-0079-19</t>
  </si>
  <si>
    <t>jetthilton@gmail.com</t>
  </si>
  <si>
    <t>485-0018-19</t>
  </si>
  <si>
    <t>scott.bonde102@gmail.com</t>
  </si>
  <si>
    <t>481-0076-21</t>
  </si>
  <si>
    <t>ccavegn@yahoo.com</t>
  </si>
  <si>
    <t>026-0079-20</t>
  </si>
  <si>
    <t>562-0005-20</t>
  </si>
  <si>
    <t>mjsteenstra@gmail.com</t>
  </si>
  <si>
    <t>011-0171-17</t>
  </si>
  <si>
    <t>htpkitty13@gmail.com</t>
  </si>
  <si>
    <t>015-0135-21</t>
  </si>
  <si>
    <t>015-0154-21</t>
  </si>
  <si>
    <t>rainagift711@gmail.com</t>
  </si>
  <si>
    <t>011-0273-20</t>
  </si>
  <si>
    <t>littlemom369@msn.com</t>
  </si>
  <si>
    <t>005-0136-21</t>
  </si>
  <si>
    <t>kguillen1230@gmail.com</t>
  </si>
  <si>
    <t>078-0052-19</t>
  </si>
  <si>
    <t>ashlynncj@gmail.com</t>
  </si>
  <si>
    <t>065-0067-21</t>
  </si>
  <si>
    <t>003-0033-18</t>
  </si>
  <si>
    <t>elisha.arguello5@gmail.com</t>
  </si>
  <si>
    <t>005-0074-20</t>
  </si>
  <si>
    <t>011-0002-19</t>
  </si>
  <si>
    <t>007-0435-18</t>
  </si>
  <si>
    <t>ferdigj20@live.siouxcityschools.com</t>
  </si>
  <si>
    <t>001-0040-18</t>
  </si>
  <si>
    <t>kimberlykreynolds@gmail.com</t>
  </si>
  <si>
    <t>008-0127-20</t>
  </si>
  <si>
    <t>Mscholten21@wsr.k12.ia.us</t>
  </si>
  <si>
    <t>065-0004-13</t>
  </si>
  <si>
    <t>sindyb@mtcnet.net</t>
  </si>
  <si>
    <t>042-0030-20</t>
  </si>
  <si>
    <t>008-0449-17</t>
  </si>
  <si>
    <t>005-0115-18</t>
  </si>
  <si>
    <t>007-0043-16</t>
  </si>
  <si>
    <t>014-0335-20</t>
  </si>
  <si>
    <t>amysunstein@aol.com</t>
  </si>
  <si>
    <t>005-0099-21</t>
  </si>
  <si>
    <t>michelledickerson123@hotmail.com</t>
  </si>
  <si>
    <t>009-0018-19</t>
  </si>
  <si>
    <t>013-0246-19</t>
  </si>
  <si>
    <t>024-0028-21</t>
  </si>
  <si>
    <t>Carla Reynolds</t>
  </si>
  <si>
    <t>chris.howell70@gmail.com</t>
  </si>
  <si>
    <t>014-0102-17</t>
  </si>
  <si>
    <t>brothersjce@yahoo.com</t>
  </si>
  <si>
    <t>026-0761-19</t>
  </si>
  <si>
    <t>delings21@gmail.com</t>
  </si>
  <si>
    <t>014-0169-13</t>
  </si>
  <si>
    <t>hannah.ball0205@gmail.com</t>
  </si>
  <si>
    <t>092-0073-17</t>
  </si>
  <si>
    <t xml:space="preserve"> </t>
  </si>
  <si>
    <t>065-0027-18</t>
  </si>
  <si>
    <t>erikdoppenberg@gmail.com</t>
  </si>
  <si>
    <t>026-0633-17</t>
  </si>
  <si>
    <t>samuelwalker897@gmail.com</t>
  </si>
  <si>
    <t>002-0373-20</t>
  </si>
  <si>
    <t>selmccorm@hotmail.com</t>
  </si>
  <si>
    <t>015-0045-21</t>
  </si>
  <si>
    <t>csmajjohnson@gmail.com</t>
  </si>
  <si>
    <t>002-0123-18</t>
  </si>
  <si>
    <t>aedwards942@cbcsd.org</t>
  </si>
  <si>
    <t>013-0255-19</t>
  </si>
  <si>
    <t>sstruck123@gmail.com</t>
  </si>
  <si>
    <t>453-0007-19</t>
  </si>
  <si>
    <t>niabrockert7@gmail.com</t>
  </si>
  <si>
    <t>015-0320-19</t>
  </si>
  <si>
    <t>huegericht@nicc.edu</t>
  </si>
  <si>
    <t>013-0229-21</t>
  </si>
  <si>
    <t>hildebrandjon5@gmail.com</t>
  </si>
  <si>
    <t>065-0006-20</t>
  </si>
  <si>
    <t>maryjf85@gamil.com</t>
  </si>
  <si>
    <t>092-0005-17</t>
  </si>
  <si>
    <t>kellymelissa2002@gmail.com</t>
  </si>
  <si>
    <t>005-0149-17</t>
  </si>
  <si>
    <t>026-0406-20</t>
  </si>
  <si>
    <t>mythic.origin@gmail.com</t>
  </si>
  <si>
    <t>024-0091-20</t>
  </si>
  <si>
    <t>anthonykerr422@gmail.com</t>
  </si>
  <si>
    <t>011-0087-20</t>
  </si>
  <si>
    <t>russellvs2@hotmail.com</t>
  </si>
  <si>
    <t>042-0007-21</t>
  </si>
  <si>
    <t>radicaldreamercb@gmail.com</t>
  </si>
  <si>
    <t>013-0280-15</t>
  </si>
  <si>
    <t>callahandarby@gmail.com</t>
  </si>
  <si>
    <t>026-0734-20</t>
  </si>
  <si>
    <t>rlwisecup2@gmail.com</t>
  </si>
  <si>
    <t>008-0092-21</t>
  </si>
  <si>
    <t>jlbgsd@gmail.com</t>
  </si>
  <si>
    <t>013-0198-20</t>
  </si>
  <si>
    <t>jacobspace710@gmail.com</t>
  </si>
  <si>
    <t>099-0044-21</t>
  </si>
  <si>
    <t>006-0176-16</t>
  </si>
  <si>
    <t>Ricardo.benison@gmail.com</t>
  </si>
  <si>
    <t>092-0016-20</t>
  </si>
  <si>
    <t>ottertail1980@outlook.com</t>
  </si>
  <si>
    <t>026-0256-18</t>
  </si>
  <si>
    <t>spectrum5083@hotmail.com</t>
  </si>
  <si>
    <t>026-0180-13</t>
  </si>
  <si>
    <t>Kat.gene@aol.com</t>
  </si>
  <si>
    <t>093-0032-19</t>
  </si>
  <si>
    <t>autumnnolan2124@gmail.com</t>
  </si>
  <si>
    <t>013-0206-19</t>
  </si>
  <si>
    <t>daltonbush548@gmail.com</t>
  </si>
  <si>
    <t>008-0436-21</t>
  </si>
  <si>
    <t>dave.ben.king.008@gmail.com</t>
  </si>
  <si>
    <t>001-0036-20</t>
  </si>
  <si>
    <t>colinwheeler18@gmail.com</t>
  </si>
  <si>
    <t>453-0048-21</t>
  </si>
  <si>
    <t>ricklynn2017@gmail.com</t>
  </si>
  <si>
    <t>481-0016-20</t>
  </si>
  <si>
    <t>celiahernandezbreann@gmail.com</t>
  </si>
  <si>
    <t>026-0397-20</t>
  </si>
  <si>
    <t>anissaruiz8@gmail.com</t>
  </si>
  <si>
    <t>065-0047-17</t>
  </si>
  <si>
    <t>014-0041-12</t>
  </si>
  <si>
    <t>007-0120-18</t>
  </si>
  <si>
    <t>015-0009-22</t>
  </si>
  <si>
    <t>kari.kraus@mediacombb.net</t>
  </si>
  <si>
    <t>024-0053-21</t>
  </si>
  <si>
    <t>hpcarlson@dmacc.edu</t>
  </si>
  <si>
    <t>015-0471-18</t>
  </si>
  <si>
    <t>robert.demick-booth@osage.k12.ia.us</t>
  </si>
  <si>
    <t>026-0421-16</t>
  </si>
  <si>
    <t>akwilliams8@dmacc.edu</t>
  </si>
  <si>
    <t>013-0009-18</t>
  </si>
  <si>
    <t>kosteramy7@gmail.com</t>
  </si>
  <si>
    <t>001-0445-19</t>
  </si>
  <si>
    <t>billywilly4282@gmail.com</t>
  </si>
  <si>
    <t>015-0212-19</t>
  </si>
  <si>
    <t>alexanders05@q.com</t>
  </si>
  <si>
    <t>026-0450-16</t>
  </si>
  <si>
    <t>hurricanelizard@gmail.com</t>
  </si>
  <si>
    <t>014-0153-21</t>
  </si>
  <si>
    <t>wilsondamion789@gmail.com</t>
  </si>
  <si>
    <t>453-0034-20</t>
  </si>
  <si>
    <t>coulter12345@msn.com</t>
  </si>
  <si>
    <t>026-0619-20</t>
  </si>
  <si>
    <t>JazmineReben38@gmail.com</t>
  </si>
  <si>
    <t>007-0282-17</t>
  </si>
  <si>
    <t>yvonne.noyes14@gmail.com</t>
  </si>
  <si>
    <t>078-0031-16</t>
  </si>
  <si>
    <t>twhite@iastate.edu</t>
  </si>
  <si>
    <t>013-0142-20</t>
  </si>
  <si>
    <t>amensen03@gmail.com</t>
  </si>
  <si>
    <t>001-0039-20</t>
  </si>
  <si>
    <t>sueyarber@gmail.com</t>
  </si>
  <si>
    <t>026-0268-21</t>
  </si>
  <si>
    <t>j.sparks82@yahoo.com</t>
  </si>
  <si>
    <t>485-0086-19</t>
  </si>
  <si>
    <t>allisonlennon03@gmail.com</t>
  </si>
  <si>
    <t>006-0009-19</t>
  </si>
  <si>
    <t>doriangoodyk@gmail.com</t>
  </si>
  <si>
    <t>099-0013-20</t>
  </si>
  <si>
    <t>007-0128-21</t>
  </si>
  <si>
    <t>Jamie Anderson</t>
  </si>
  <si>
    <t>erica.hoffman85@gmail.com</t>
  </si>
  <si>
    <t>026-0473-17</t>
  </si>
  <si>
    <t>005-0069-20</t>
  </si>
  <si>
    <t>453-0047-21</t>
  </si>
  <si>
    <t>lasell@machlink.com</t>
  </si>
  <si>
    <t>026-0573-18</t>
  </si>
  <si>
    <t>onyourleft23@gmail.com</t>
  </si>
  <si>
    <t>024-0143-18</t>
  </si>
  <si>
    <t>005-0038-21</t>
  </si>
  <si>
    <t>mblazer32@gmail.com</t>
  </si>
  <si>
    <t>011-0260-17</t>
  </si>
  <si>
    <t>004-0205-10</t>
  </si>
  <si>
    <t>bjmjrice@msn.com</t>
  </si>
  <si>
    <t>026-0746-20</t>
  </si>
  <si>
    <t>lauralcarr062018@gmail.com</t>
  </si>
  <si>
    <t>014-0057-20</t>
  </si>
  <si>
    <t>johnnyronaldolsen@hotmail.com</t>
  </si>
  <si>
    <t>014-0087-20</t>
  </si>
  <si>
    <t>sedivecvickie@gmail.com</t>
  </si>
  <si>
    <t>008-0298-19</t>
  </si>
  <si>
    <t>026-0176-20</t>
  </si>
  <si>
    <t>angieaap@msn.com</t>
  </si>
  <si>
    <t>026-0370-19</t>
  </si>
  <si>
    <t>karebears3@gmail.com</t>
  </si>
  <si>
    <t>005-0061-18</t>
  </si>
  <si>
    <t>026-0331-21</t>
  </si>
  <si>
    <t>lchristensen@transiowa.com</t>
  </si>
  <si>
    <t>007-0094-19</t>
  </si>
  <si>
    <t>481-0092-18</t>
  </si>
  <si>
    <t>brownboy2014@yahoo.com</t>
  </si>
  <si>
    <t>015-0015-17</t>
  </si>
  <si>
    <t>Brian Warner</t>
  </si>
  <si>
    <t>tzswan23@hotmail.com</t>
  </si>
  <si>
    <t>015-0003-21</t>
  </si>
  <si>
    <t>alan.mitchell1976@gmail.com</t>
  </si>
  <si>
    <t>042-0043-19</t>
  </si>
  <si>
    <t>kvavroch019@gmail.com</t>
  </si>
  <si>
    <t>093-0062-20</t>
  </si>
  <si>
    <t>shearea70@yahoo.com</t>
  </si>
  <si>
    <t>026-0131-21</t>
  </si>
  <si>
    <t>tajuanarobinson@gmail.com</t>
  </si>
  <si>
    <t>003-0264-21</t>
  </si>
  <si>
    <t>jermainejarrett67@gmail.com</t>
  </si>
  <si>
    <t>015-0131-20</t>
  </si>
  <si>
    <t>redwestinc5@yahoo.com</t>
  </si>
  <si>
    <t>013-0123-20</t>
  </si>
  <si>
    <t>Jessica Miller</t>
  </si>
  <si>
    <t>trumancherne01@gmail.com</t>
  </si>
  <si>
    <t>025-0009-21</t>
  </si>
  <si>
    <t>newnena20@gmail.com</t>
  </si>
  <si>
    <t>042-0215-20</t>
  </si>
  <si>
    <t>artsywho@gmail.com</t>
  </si>
  <si>
    <t>014-0047-20</t>
  </si>
  <si>
    <t>495-0005-14</t>
  </si>
  <si>
    <t>011-0148-20</t>
  </si>
  <si>
    <t>titusembrey@gmail.com</t>
  </si>
  <si>
    <t>013-0101-20</t>
  </si>
  <si>
    <t>ldstyle50@gmail.com</t>
  </si>
  <si>
    <t>002-0042-18</t>
  </si>
  <si>
    <t>005-0063-20</t>
  </si>
  <si>
    <t>rachel.halbach3@gmail.com</t>
  </si>
  <si>
    <t>026-0633-19</t>
  </si>
  <si>
    <t>tookie7890@gmail.com</t>
  </si>
  <si>
    <t>093-0109-21</t>
  </si>
  <si>
    <t>mojo6311@gmail.com</t>
  </si>
  <si>
    <t>007-0101-18</t>
  </si>
  <si>
    <t>ochoaleylanie@gmail.com</t>
  </si>
  <si>
    <t>007-0299-20</t>
  </si>
  <si>
    <t>001-0447-19</t>
  </si>
  <si>
    <t>cavrosd@gmail.com</t>
  </si>
  <si>
    <t>006-0269-17</t>
  </si>
  <si>
    <t>celiaterry120@gmail.com</t>
  </si>
  <si>
    <t>099-0045-21</t>
  </si>
  <si>
    <t>demi_johnson@hotmail.com</t>
  </si>
  <si>
    <t>026-0111-20</t>
  </si>
  <si>
    <t>stroughfamily@gmail.com</t>
  </si>
  <si>
    <t>008-0311-19</t>
  </si>
  <si>
    <t>008-0369-21</t>
  </si>
  <si>
    <t>archietrower@gmail.com</t>
  </si>
  <si>
    <t>008-0532-20</t>
  </si>
  <si>
    <t>026-0169-17</t>
  </si>
  <si>
    <t>003-0135-17</t>
  </si>
  <si>
    <t>bikrchic95@yahoo.com</t>
  </si>
  <si>
    <t>008-0101-20</t>
  </si>
  <si>
    <t>Borcherdingcole@gmail.com</t>
  </si>
  <si>
    <t>093-0123-20</t>
  </si>
  <si>
    <t>011-0014-19</t>
  </si>
  <si>
    <t>elijoan1982@gmail.com</t>
  </si>
  <si>
    <t>015-0258-19</t>
  </si>
  <si>
    <t>olsonad@wctatel.net</t>
  </si>
  <si>
    <t>025-0056-19</t>
  </si>
  <si>
    <t>tmw52690@yahoo.com</t>
  </si>
  <si>
    <t>001-0519-21</t>
  </si>
  <si>
    <t>dierra.blakely@linnmar.k12.ia.us</t>
  </si>
  <si>
    <t>014-0005-20</t>
  </si>
  <si>
    <t>christianawatkins6@gmail.com</t>
  </si>
  <si>
    <t>014-0346-19</t>
  </si>
  <si>
    <t>crlvllj8@mchsi.com</t>
  </si>
  <si>
    <t>453-0014-21</t>
  </si>
  <si>
    <t>heatherproulx16@gmail.com</t>
  </si>
  <si>
    <t>015-0135-20</t>
  </si>
  <si>
    <t>kgrillo7@hotmail.com</t>
  </si>
  <si>
    <t>495-0054-15</t>
  </si>
  <si>
    <t>aaronwilliams732@gmail.com</t>
  </si>
  <si>
    <t>485-0034-20</t>
  </si>
  <si>
    <t>013-0104-19</t>
  </si>
  <si>
    <t>josephmurray153@gmail.com</t>
  </si>
  <si>
    <t>092-0035-21</t>
  </si>
  <si>
    <t>hmarsh@frontiernet.net</t>
  </si>
  <si>
    <t>014-0227-19</t>
  </si>
  <si>
    <t>carson.boyse@gmail.com</t>
  </si>
  <si>
    <t>008-0030-20</t>
  </si>
  <si>
    <t>mrelaz@me.com</t>
  </si>
  <si>
    <t>026-0022-17</t>
  </si>
  <si>
    <t>cavanzee90@gmail.com</t>
  </si>
  <si>
    <t>011-0196-18</t>
  </si>
  <si>
    <t>2021dako.mayb@wacocsd.org</t>
  </si>
  <si>
    <t>026-0430-12</t>
  </si>
  <si>
    <t>dsfleming838@gmail.com</t>
  </si>
  <si>
    <t>026-0260-19</t>
  </si>
  <si>
    <t>spencer8259@msn.com</t>
  </si>
  <si>
    <t>026-0635-18</t>
  </si>
  <si>
    <t>013-0100-15</t>
  </si>
  <si>
    <t>k_hogan_george@yahoo.com</t>
  </si>
  <si>
    <t>024-0211-20</t>
  </si>
  <si>
    <t>jwengert022@gmail.com</t>
  </si>
  <si>
    <t>001-0186-20</t>
  </si>
  <si>
    <t>092-0001-19</t>
  </si>
  <si>
    <t>013-0114-20</t>
  </si>
  <si>
    <t>rdawson7822@yahoo.com</t>
  </si>
  <si>
    <t>011-0143-20</t>
  </si>
  <si>
    <t>z993126@gmail.com</t>
  </si>
  <si>
    <t>093-0025-21</t>
  </si>
  <si>
    <t>nysfinest42@gmail.com</t>
  </si>
  <si>
    <t>015-0062-18</t>
  </si>
  <si>
    <t>014-0081-19</t>
  </si>
  <si>
    <t>friis191@gmail.com</t>
  </si>
  <si>
    <t>013-0036-18</t>
  </si>
  <si>
    <t>braxtoncook5288@gmail.com</t>
  </si>
  <si>
    <t>078-0083-20</t>
  </si>
  <si>
    <t>hadlie.sickels@gmail.com</t>
  </si>
  <si>
    <t>026-0435-15</t>
  </si>
  <si>
    <t>nooner3912@gmail.com</t>
  </si>
  <si>
    <t>007-0074-17</t>
  </si>
  <si>
    <t>derek_vis@hotmail.com</t>
  </si>
  <si>
    <t>007-0244-17</t>
  </si>
  <si>
    <t>capers1115@gmail.com</t>
  </si>
  <si>
    <t>005-0249-20</t>
  </si>
  <si>
    <t>marieleslie85@gmail.com</t>
  </si>
  <si>
    <t>014-0331-19</t>
  </si>
  <si>
    <t>regjsmith@hotmail.com</t>
  </si>
  <si>
    <t>008-0156-18</t>
  </si>
  <si>
    <t>rmyami@org.com</t>
  </si>
  <si>
    <t>007-0011-20</t>
  </si>
  <si>
    <t>zarbadan@gmail.com</t>
  </si>
  <si>
    <t>481-0001-20</t>
  </si>
  <si>
    <t>007-0196-15</t>
  </si>
  <si>
    <t>nrschimek@gmail.com</t>
  </si>
  <si>
    <t>026-0381-17</t>
  </si>
  <si>
    <t>tlkurtt@icloud.com</t>
  </si>
  <si>
    <t>008-0182-20</t>
  </si>
  <si>
    <t>Ryana1@wloo.org</t>
  </si>
  <si>
    <t>013-0236-13</t>
  </si>
  <si>
    <t>reckerbreanna@gmail.com</t>
  </si>
  <si>
    <t>014-0253-18</t>
  </si>
  <si>
    <t>eviemboyens@gmail.com</t>
  </si>
  <si>
    <t>013-0060-21</t>
  </si>
  <si>
    <t>heather.latham@gmx.com</t>
  </si>
  <si>
    <t>011-0229-17</t>
  </si>
  <si>
    <t>013-0076-20</t>
  </si>
  <si>
    <t>horsfieldk@yahoo.com</t>
  </si>
  <si>
    <t>015-0055-14</t>
  </si>
  <si>
    <t>MGuay2015@hotmail.com</t>
  </si>
  <si>
    <t>003-0101-20</t>
  </si>
  <si>
    <t>mickeljones37@gmail.com</t>
  </si>
  <si>
    <t>453-0059-20</t>
  </si>
  <si>
    <t>lwieman36@gmail.com</t>
  </si>
  <si>
    <t>015-0089-17</t>
  </si>
  <si>
    <t>jtjolson@yahoo.com</t>
  </si>
  <si>
    <t>001-0332-18</t>
  </si>
  <si>
    <t>auroracoleman82@gmail.com</t>
  </si>
  <si>
    <t>453-0042-15</t>
  </si>
  <si>
    <t>011-0089-18</t>
  </si>
  <si>
    <t>magyck30@gmail.com</t>
  </si>
  <si>
    <t>065-0073-19</t>
  </si>
  <si>
    <t>jennifermcquistan47@gmail.com</t>
  </si>
  <si>
    <t>013-0050-16</t>
  </si>
  <si>
    <t>justicebildstein@gmail.com</t>
  </si>
  <si>
    <t>575-0001-20</t>
  </si>
  <si>
    <t>marissapickrell2020@gmail.com</t>
  </si>
  <si>
    <t>014-0031-18</t>
  </si>
  <si>
    <t>pandeetah@aol.com</t>
  </si>
  <si>
    <t>007-0066-19</t>
  </si>
  <si>
    <t>makyalolson@gmail.com</t>
  </si>
  <si>
    <t>005-0031-20</t>
  </si>
  <si>
    <t>amartizez21@fdschools.org</t>
  </si>
  <si>
    <t>042-0014-20</t>
  </si>
  <si>
    <t>crystalwalker430@yahoo.com</t>
  </si>
  <si>
    <t>011-0111-21</t>
  </si>
  <si>
    <t>bobbyy862@gmail.com</t>
  </si>
  <si>
    <t>015-0137-18</t>
  </si>
  <si>
    <t>snugslashman9@gmail.com</t>
  </si>
  <si>
    <t>006-0087-20</t>
  </si>
  <si>
    <t>006-0163-20</t>
  </si>
  <si>
    <t>candee.healthcare@icloud.com</t>
  </si>
  <si>
    <t>007-0121-20</t>
  </si>
  <si>
    <t>008-0428-19</t>
  </si>
  <si>
    <t>bishopbarnes88@gmail.com</t>
  </si>
  <si>
    <t>015-0192-19</t>
  </si>
  <si>
    <t>jaris.trebil@westforkschools.org</t>
  </si>
  <si>
    <t>042-0035-19</t>
  </si>
  <si>
    <t>dravader571@gmail.com</t>
  </si>
  <si>
    <t>001-0213-16</t>
  </si>
  <si>
    <t>bobgrovert@msn.com</t>
  </si>
  <si>
    <t>008-0111-20</t>
  </si>
  <si>
    <t>makailar1@wloo.org</t>
  </si>
  <si>
    <t>006-0251-18</t>
  </si>
  <si>
    <t>feliciaricepeel@gmail.com</t>
  </si>
  <si>
    <t>078-0033-20</t>
  </si>
  <si>
    <t>008-0138-17</t>
  </si>
  <si>
    <t>ssallis@hotmail.com</t>
  </si>
  <si>
    <t>008-0030-19</t>
  </si>
  <si>
    <t>013-0215-19</t>
  </si>
  <si>
    <t>001-0152-20</t>
  </si>
  <si>
    <t>allannost@gmail.com</t>
  </si>
  <si>
    <t>026-0670-18</t>
  </si>
  <si>
    <t>YahwehShalom4@gmail.com</t>
  </si>
  <si>
    <t>011-0088-20</t>
  </si>
  <si>
    <t>Jennifer Kimble</t>
  </si>
  <si>
    <t>linhaynes@nlcsd.org</t>
  </si>
  <si>
    <t>026-0002-20</t>
  </si>
  <si>
    <t>332-0057-21</t>
  </si>
  <si>
    <t>jenniferluttrell71@gmail.com</t>
  </si>
  <si>
    <t>014-0269-15</t>
  </si>
  <si>
    <t>corgiplanet@gmail.com</t>
  </si>
  <si>
    <t>026-0632-19</t>
  </si>
  <si>
    <t>014-0019-19</t>
  </si>
  <si>
    <t>002-0028-19</t>
  </si>
  <si>
    <t>015-0085-21</t>
  </si>
  <si>
    <t>colbydean331@gmail.com</t>
  </si>
  <si>
    <t>026-0372-20</t>
  </si>
  <si>
    <t>008-0328-19</t>
  </si>
  <si>
    <t>chuck352011@hotmail.com</t>
  </si>
  <si>
    <t>571-0023-15</t>
  </si>
  <si>
    <t>078-0072-19</t>
  </si>
  <si>
    <t>fatherjon1234@gmail.com</t>
  </si>
  <si>
    <t>008-0553-20</t>
  </si>
  <si>
    <t>countryvibedesigns@gmail.com</t>
  </si>
  <si>
    <t>008-0132-19</t>
  </si>
  <si>
    <t>samalrab33@gmail.com</t>
  </si>
  <si>
    <t>006-0165-19</t>
  </si>
  <si>
    <t>joshn4804@gmail.com</t>
  </si>
  <si>
    <t>026-0386-16</t>
  </si>
  <si>
    <t>artsgirl43@gmail.com</t>
  </si>
  <si>
    <t>003-0304-20</t>
  </si>
  <si>
    <t>snidercraig4@gmail.com</t>
  </si>
  <si>
    <t>099-0048-21</t>
  </si>
  <si>
    <t>clintjoelberg00@icloud.com</t>
  </si>
  <si>
    <t>015-0070-20</t>
  </si>
  <si>
    <t>xavierelfather@gmail.com</t>
  </si>
  <si>
    <t>453-0019-20</t>
  </si>
  <si>
    <t>332-0083-18</t>
  </si>
  <si>
    <t>jodygirl13@live.com</t>
  </si>
  <si>
    <t>026-0688-21</t>
  </si>
  <si>
    <t>coolbribri@gmail.com</t>
  </si>
  <si>
    <t>007-0014-18</t>
  </si>
  <si>
    <t>bougherdavid45@gmail.com</t>
  </si>
  <si>
    <t>026-0200-16</t>
  </si>
  <si>
    <t>mll24242@yahoo.com</t>
  </si>
  <si>
    <t>453-0054-20</t>
  </si>
  <si>
    <t>tbishop2541@yahoo.com</t>
  </si>
  <si>
    <t>481-0046-21</t>
  </si>
  <si>
    <t>005-0175-20</t>
  </si>
  <si>
    <t>065-0005-18</t>
  </si>
  <si>
    <t>djsiebrecht@gmail.com</t>
  </si>
  <si>
    <t>485-0011-12</t>
  </si>
  <si>
    <t>sarahfrett85@hotmail.com</t>
  </si>
  <si>
    <t>007-0218-19</t>
  </si>
  <si>
    <t>kelsey.bren.14@gmail.com</t>
  </si>
  <si>
    <t>485-0091-17</t>
  </si>
  <si>
    <t>brendaRhenry@gmail.com</t>
  </si>
  <si>
    <t>003-0115-15</t>
  </si>
  <si>
    <t>candlehappy@mchsi.com</t>
  </si>
  <si>
    <t>007-0348-19</t>
  </si>
  <si>
    <t>496-0055-18</t>
  </si>
  <si>
    <t>wolfman6111@hotmail.com</t>
  </si>
  <si>
    <t>015-0291-17</t>
  </si>
  <si>
    <t>hlgrafton26@yahoo.com</t>
  </si>
  <si>
    <t>092-0031-21</t>
  </si>
  <si>
    <t>amysueg413@yahoo.com</t>
  </si>
  <si>
    <t>065-0025-18</t>
  </si>
  <si>
    <t>026-0591-21</t>
  </si>
  <si>
    <t>carpenterjodell@gmail.com</t>
  </si>
  <si>
    <t>015-0139-21</t>
  </si>
  <si>
    <t>rskelly69@hotmail.com</t>
  </si>
  <si>
    <t>332-0031-20</t>
  </si>
  <si>
    <t>jpfolkes@verizon.net</t>
  </si>
  <si>
    <t>011-0147-20</t>
  </si>
  <si>
    <t>007-0269-17</t>
  </si>
  <si>
    <t>006-0165-20</t>
  </si>
  <si>
    <t>amymaxwell66@gmail.com</t>
  </si>
  <si>
    <t>006-0035-17</t>
  </si>
  <si>
    <t>078-0089-17</t>
  </si>
  <si>
    <t>csj1998@gmail.com</t>
  </si>
  <si>
    <t>008-0050-19</t>
  </si>
  <si>
    <t>007-0167-19</t>
  </si>
  <si>
    <t>t.hattig@yahoo.com</t>
  </si>
  <si>
    <t>042-0015-20</t>
  </si>
  <si>
    <t>mecklenburgrachel90@gmail.com</t>
  </si>
  <si>
    <t>011-0248-19</t>
  </si>
  <si>
    <t>faithvessell672@gmail.com</t>
  </si>
  <si>
    <t>008-0523-20</t>
  </si>
  <si>
    <t>sls10980@yahoo.com</t>
  </si>
  <si>
    <t>011-0032-19</t>
  </si>
  <si>
    <t>013-0241-18</t>
  </si>
  <si>
    <t>093-0007-20</t>
  </si>
  <si>
    <t>jaceknahl@gmail.com</t>
  </si>
  <si>
    <t>011-0344-20</t>
  </si>
  <si>
    <t>025-0013-19</t>
  </si>
  <si>
    <t>tasleson89@gmail.com</t>
  </si>
  <si>
    <t>015-0271-20</t>
  </si>
  <si>
    <t>emberlynsander@gmail.com</t>
  </si>
  <si>
    <t>008-0134-20</t>
  </si>
  <si>
    <t>austindeitrick@yahoo.com</t>
  </si>
  <si>
    <t>015-0262-15</t>
  </si>
  <si>
    <t>gooder.anna@yahoo.com</t>
  </si>
  <si>
    <t>006-0117-21</t>
  </si>
  <si>
    <t>005-0151-19</t>
  </si>
  <si>
    <t>015-0228-17</t>
  </si>
  <si>
    <t>alyssa.eberling@gmail.com</t>
  </si>
  <si>
    <t>571-0025-18</t>
  </si>
  <si>
    <t>026-0082-18</t>
  </si>
  <si>
    <t>christinaknuth11@gmail.com</t>
  </si>
  <si>
    <t>093-0018-18</t>
  </si>
  <si>
    <t>bulliuan@luther.edu</t>
  </si>
  <si>
    <t>078-0107-19</t>
  </si>
  <si>
    <t>033-0027-06</t>
  </si>
  <si>
    <t>katherine.jasper@gmail.com</t>
  </si>
  <si>
    <t>007-0220-19</t>
  </si>
  <si>
    <t>jegries005@gmail.com</t>
  </si>
  <si>
    <t>006-0249-19</t>
  </si>
  <si>
    <t>014-0221-21</t>
  </si>
  <si>
    <t>baumbach_bridget@aol.com</t>
  </si>
  <si>
    <t>026-0210-18</t>
  </si>
  <si>
    <t>jacechalup@gmail.com</t>
  </si>
  <si>
    <t>011-0005-19</t>
  </si>
  <si>
    <t>008-0223-20</t>
  </si>
  <si>
    <t>Carrie Snell</t>
  </si>
  <si>
    <t>kylek@cfu.net</t>
  </si>
  <si>
    <t>014-0004-21</t>
  </si>
  <si>
    <t>harrietnelson1@gmail.com</t>
  </si>
  <si>
    <t>015-0009-19</t>
  </si>
  <si>
    <t>dixton50428@gmail.com</t>
  </si>
  <si>
    <t>014-0027-20</t>
  </si>
  <si>
    <t>013-0185-20</t>
  </si>
  <si>
    <t>skyekenniker@gmail.com</t>
  </si>
  <si>
    <t>006-0141-18</t>
  </si>
  <si>
    <t>paytonfry11@gmail.com</t>
  </si>
  <si>
    <t>008-0453-17</t>
  </si>
  <si>
    <t>024-0086-12</t>
  </si>
  <si>
    <t>zmwang@iastate.edu</t>
  </si>
  <si>
    <t>485-0005-20</t>
  </si>
  <si>
    <t>jonnyseyfert09@gmail.com</t>
  </si>
  <si>
    <t>026-0375-19</t>
  </si>
  <si>
    <t>042-0118-17</t>
  </si>
  <si>
    <t>013-0183-17</t>
  </si>
  <si>
    <t>john007vailen101@gmail.com</t>
  </si>
  <si>
    <t>013-0048-20</t>
  </si>
  <si>
    <t>jsambbvb@gmail.com</t>
  </si>
  <si>
    <t>332-0014-19</t>
  </si>
  <si>
    <t>026-0214-18</t>
  </si>
  <si>
    <t>josephks2000@gmail.com</t>
  </si>
  <si>
    <t>026-0324-18</t>
  </si>
  <si>
    <t>bemmakelly2000@gmail.com</t>
  </si>
  <si>
    <t>005-0108-19</t>
  </si>
  <si>
    <t>013-0050-19</t>
  </si>
  <si>
    <t>lanndemmer@gmail.com</t>
  </si>
  <si>
    <t>008-0302-17</t>
  </si>
  <si>
    <t>cassie.koehn99@gmail.com</t>
  </si>
  <si>
    <t>001-0157-14</t>
  </si>
  <si>
    <t>kyliejmarch@gmail.com</t>
  </si>
  <si>
    <t>008-0406-18</t>
  </si>
  <si>
    <t>tommyjkula@gmail.com</t>
  </si>
  <si>
    <t>026-0470-19</t>
  </si>
  <si>
    <t>026-0618-18</t>
  </si>
  <si>
    <t>alexjameskeenan1@hotmail.com</t>
  </si>
  <si>
    <t>078-0047-21</t>
  </si>
  <si>
    <t>sophiahellyerperu@email.com</t>
  </si>
  <si>
    <t>006-0188-16</t>
  </si>
  <si>
    <t>schaffnernickolasr@sau.edu</t>
  </si>
  <si>
    <t>026-0124-20</t>
  </si>
  <si>
    <t>007-0109-16</t>
  </si>
  <si>
    <t>ludwig.jillian.10@gmail.com</t>
  </si>
  <si>
    <t>026-0222-16</t>
  </si>
  <si>
    <t>angel_faces@ymail.com</t>
  </si>
  <si>
    <t>013-0182-18</t>
  </si>
  <si>
    <t>coltkey23567@icloud.com</t>
  </si>
  <si>
    <t>011-0253-19</t>
  </si>
  <si>
    <t>walljasperangie@yahoo.com</t>
  </si>
  <si>
    <t>003-0114-20</t>
  </si>
  <si>
    <t>Christineb1226@gmail.com</t>
  </si>
  <si>
    <t>026-0003-22</t>
  </si>
  <si>
    <t>Pamela McCowen</t>
  </si>
  <si>
    <t>moderm0333@gmail.com</t>
  </si>
  <si>
    <t>001-0057-18</t>
  </si>
  <si>
    <t>rachelvv2009@gmail.com</t>
  </si>
  <si>
    <t>026-0534-19</t>
  </si>
  <si>
    <t>denise_Hoehn@yahoo.com</t>
  </si>
  <si>
    <t>015-0105-20</t>
  </si>
  <si>
    <t>jwilmarth@masoncityschools.org</t>
  </si>
  <si>
    <t>015-0346-20</t>
  </si>
  <si>
    <t>dmwagner20005@gmail.com</t>
  </si>
  <si>
    <t>014-0217-20</t>
  </si>
  <si>
    <t>006-0262-19</t>
  </si>
  <si>
    <t>christinadavis258@gmail.com</t>
  </si>
  <si>
    <t>026-0374-20</t>
  </si>
  <si>
    <t>courtneymoses20@yahoo.com</t>
  </si>
  <si>
    <t>006-0055-20</t>
  </si>
  <si>
    <t>magenturner69@gmail.com</t>
  </si>
  <si>
    <t>008-0135-20</t>
  </si>
  <si>
    <t>Genevieve Shafer</t>
  </si>
  <si>
    <t>robertellison@robertellisonimaging.com</t>
  </si>
  <si>
    <t>026-0361-18</t>
  </si>
  <si>
    <t>seeburger6@aol.com</t>
  </si>
  <si>
    <t>024-0034-19</t>
  </si>
  <si>
    <t>worthingtonrtheron@gmail.com</t>
  </si>
  <si>
    <t>001-0704-21</t>
  </si>
  <si>
    <t>marrissawren3@gmail.com</t>
  </si>
  <si>
    <t>026-0185-20</t>
  </si>
  <si>
    <t>alissats@msn.com</t>
  </si>
  <si>
    <t>006-0042-20</t>
  </si>
  <si>
    <t>026-0694-21</t>
  </si>
  <si>
    <t>332-0061-17</t>
  </si>
  <si>
    <t>jordybeal@yahoo.com</t>
  </si>
  <si>
    <t>015-0181-19</t>
  </si>
  <si>
    <t>lovejoyerika@gmail.com</t>
  </si>
  <si>
    <t>026-0434-19</t>
  </si>
  <si>
    <t>notchtatiana@gmail.com</t>
  </si>
  <si>
    <t>026-0271-20</t>
  </si>
  <si>
    <t>cedotodorovic010@gmail.com</t>
  </si>
  <si>
    <t>001-0243-17</t>
  </si>
  <si>
    <t>waynegregoryjr40@yahoo.com</t>
  </si>
  <si>
    <t>099-0036-21</t>
  </si>
  <si>
    <t>013-0368-18</t>
  </si>
  <si>
    <t>erin.heins1@gmail.com</t>
  </si>
  <si>
    <t>005-0048-19</t>
  </si>
  <si>
    <t>007-0099-20</t>
  </si>
  <si>
    <t>485-0078-19</t>
  </si>
  <si>
    <t>zaydenarey@gmail.com</t>
  </si>
  <si>
    <t>005-0165-20</t>
  </si>
  <si>
    <t>006-0052-18</t>
  </si>
  <si>
    <t>011-0274-19</t>
  </si>
  <si>
    <t>026-0135-20</t>
  </si>
  <si>
    <t>neeshaduncan@gmail.com</t>
  </si>
  <si>
    <t>026-0610-21</t>
  </si>
  <si>
    <t>herbieja76@yahoo.com</t>
  </si>
  <si>
    <t>562-0003-19</t>
  </si>
  <si>
    <t>hewoolery@mediacombb.net</t>
  </si>
  <si>
    <t>014-0334-18</t>
  </si>
  <si>
    <t>kaynunnally321@gmail.com</t>
  </si>
  <si>
    <t>008-0445-21</t>
  </si>
  <si>
    <t>jad33063@gmail.com</t>
  </si>
  <si>
    <t>013-0189-20</t>
  </si>
  <si>
    <t>krthomas388@gmail.com</t>
  </si>
  <si>
    <t>093-0082-21</t>
  </si>
  <si>
    <t>kylibyers@gmail.com</t>
  </si>
  <si>
    <t>013-0001-20</t>
  </si>
  <si>
    <t>jsoppe@medline.com</t>
  </si>
  <si>
    <t>026-0427-18</t>
  </si>
  <si>
    <t>caminutter@me.com</t>
  </si>
  <si>
    <t>026-0419-20</t>
  </si>
  <si>
    <t>Brewwoodbury@yahoo.com</t>
  </si>
  <si>
    <t>332-0024-20</t>
  </si>
  <si>
    <t>vickyswaney@yahoo.com</t>
  </si>
  <si>
    <t>001-0321-15</t>
  </si>
  <si>
    <t>kaylajane0691@gmail.com</t>
  </si>
  <si>
    <t>453-0002-12</t>
  </si>
  <si>
    <t>bmorse20@coe.edu</t>
  </si>
  <si>
    <t>002-0051-21</t>
  </si>
  <si>
    <t>026-0588-19</t>
  </si>
  <si>
    <t>aklapproth@hotmail.com</t>
  </si>
  <si>
    <t>571-0029-18</t>
  </si>
  <si>
    <t>013-0168-20</t>
  </si>
  <si>
    <t>kaylee.leicht02@gmail.com</t>
  </si>
  <si>
    <t>078-0007-20</t>
  </si>
  <si>
    <t>065-0050-19</t>
  </si>
  <si>
    <t>lori.bonnema@nwciowa.edu</t>
  </si>
  <si>
    <t>024-0118-17</t>
  </si>
  <si>
    <t>481-0046-18</t>
  </si>
  <si>
    <t>026-0060-19</t>
  </si>
  <si>
    <t>apoole42@gmail.com</t>
  </si>
  <si>
    <t>024-0095-21</t>
  </si>
  <si>
    <t>kimowl@yahoo.com</t>
  </si>
  <si>
    <t>003-0095-20</t>
  </si>
  <si>
    <t>bkrambeck57@gmail.com</t>
  </si>
  <si>
    <t>001-0114-15</t>
  </si>
  <si>
    <t>emmagrant98@gmail.com</t>
  </si>
  <si>
    <t>015-0125-19</t>
  </si>
  <si>
    <t>kendra.ann.kc@gmail.com</t>
  </si>
  <si>
    <t>006-0013-19</t>
  </si>
  <si>
    <t>cynthia01_09_91@yahoo.com</t>
  </si>
  <si>
    <t>011-0050-19</t>
  </si>
  <si>
    <t>pshauna05@gmail.com</t>
  </si>
  <si>
    <t>026-0253-20</t>
  </si>
  <si>
    <t>026-0013-21</t>
  </si>
  <si>
    <t>taralyons283148@gmail.com</t>
  </si>
  <si>
    <t>481-0037-20</t>
  </si>
  <si>
    <t>smilemoreangelina@gmail.com</t>
  </si>
  <si>
    <t>001-0158-20</t>
  </si>
  <si>
    <t>015-0275-21</t>
  </si>
  <si>
    <t>spector1157@gmail.com</t>
  </si>
  <si>
    <t>026-0253-19</t>
  </si>
  <si>
    <t>mcculloughdavidm@gmail.com</t>
  </si>
  <si>
    <t>026-0391-18</t>
  </si>
  <si>
    <t>momonuts1@gmail.com</t>
  </si>
  <si>
    <t>005-0170-20</t>
  </si>
  <si>
    <t>026-0254-18</t>
  </si>
  <si>
    <t>005-0293-19</t>
  </si>
  <si>
    <t>485-0028-20</t>
  </si>
  <si>
    <t>scotttisha4@gmail.com</t>
  </si>
  <si>
    <t>005-0105-11</t>
  </si>
  <si>
    <t>mjknicker@hotmail.com</t>
  </si>
  <si>
    <t>481-0045-21</t>
  </si>
  <si>
    <t>westcindy180@gmail.com</t>
  </si>
  <si>
    <t>332-0087-20</t>
  </si>
  <si>
    <t>008-0589-20</t>
  </si>
  <si>
    <t>001-0349-19</t>
  </si>
  <si>
    <t>093-0091-19</t>
  </si>
  <si>
    <t>douglasfleener@gmail.com</t>
  </si>
  <si>
    <t>017-0055-15</t>
  </si>
  <si>
    <t>scarlett.ariel.eagle@gmail.com</t>
  </si>
  <si>
    <t>013-0345-20</t>
  </si>
  <si>
    <t>michaeldeeann@outlook.com</t>
  </si>
  <si>
    <t>026-0622-19</t>
  </si>
  <si>
    <t>coleybresley123@gmail.com</t>
  </si>
  <si>
    <t>006-0045-19</t>
  </si>
  <si>
    <t>alexachipp@yahoo.com</t>
  </si>
  <si>
    <t>001-0235-19</t>
  </si>
  <si>
    <t>richdesigns62@gmail.com</t>
  </si>
  <si>
    <t>496-0046-13</t>
  </si>
  <si>
    <t>cameron.young1994@gmail.com</t>
  </si>
  <si>
    <t>006-0047-17</t>
  </si>
  <si>
    <t>496-0059-17</t>
  </si>
  <si>
    <t>timcrooker@gmail.com</t>
  </si>
  <si>
    <t>005-0063-18</t>
  </si>
  <si>
    <t>fudgetyrone@yahoo.com</t>
  </si>
  <si>
    <t>026-0429-13</t>
  </si>
  <si>
    <t>dwc@iastate.edu</t>
  </si>
  <si>
    <t>011-0119-20</t>
  </si>
  <si>
    <t>065-0062-19</t>
  </si>
  <si>
    <t>springridge01@gmail.com</t>
  </si>
  <si>
    <t>024-0196-20</t>
  </si>
  <si>
    <t>andreareyes@uiowa.edu</t>
  </si>
  <si>
    <t>093-0067-20</t>
  </si>
  <si>
    <t>kmwyse4@gmail.com</t>
  </si>
  <si>
    <t>005-0083-19</t>
  </si>
  <si>
    <t>008-0426-19</t>
  </si>
  <si>
    <t>saracornwell55@gmail.com</t>
  </si>
  <si>
    <t>065-0011-15</t>
  </si>
  <si>
    <t>g.zvnbrgn@gmail.com</t>
  </si>
  <si>
    <t>009-0067-21</t>
  </si>
  <si>
    <t>priordist@hotmail.com</t>
  </si>
  <si>
    <t>008-0255-20</t>
  </si>
  <si>
    <t>026-0010-17</t>
  </si>
  <si>
    <t>024-0219-20</t>
  </si>
  <si>
    <t>stevenharms222@gmail.com</t>
  </si>
  <si>
    <t>011-0267-20</t>
  </si>
  <si>
    <t>006-0051-19</t>
  </si>
  <si>
    <t>cam.thomas1986@gmail.com</t>
  </si>
  <si>
    <t>011-0076-16</t>
  </si>
  <si>
    <t>amber.johnson@hophavencorp.com</t>
  </si>
  <si>
    <t>024-0144-19</t>
  </si>
  <si>
    <t>026-0681-21</t>
  </si>
  <si>
    <t>klbv2223@gmail.com</t>
  </si>
  <si>
    <t>093-0108-21</t>
  </si>
  <si>
    <t>002-0120-21</t>
  </si>
  <si>
    <t>026-0457-16</t>
  </si>
  <si>
    <t>deveraux@outlook.com</t>
  </si>
  <si>
    <t>026-0517-19</t>
  </si>
  <si>
    <t>danwestonwaller@gmail.com</t>
  </si>
  <si>
    <t>026-0405-20</t>
  </si>
  <si>
    <t>marsha.kreho@gmail.com</t>
  </si>
  <si>
    <t>024-0089-18</t>
  </si>
  <si>
    <t>matthewwirth7899@gmail.com</t>
  </si>
  <si>
    <t>078-0006-20</t>
  </si>
  <si>
    <t>janssenmatthew78@gmail.com</t>
  </si>
  <si>
    <t>007-0216-19</t>
  </si>
  <si>
    <t>015-0102-21</t>
  </si>
  <si>
    <t>dancergirl_mandy20@hotmail.com</t>
  </si>
  <si>
    <t>496-0024-20</t>
  </si>
  <si>
    <t>Isaiahii@mail.com</t>
  </si>
  <si>
    <t>011-0188-18</t>
  </si>
  <si>
    <t>093-0061-14</t>
  </si>
  <si>
    <t>tinashot.jh@gmail.com</t>
  </si>
  <si>
    <t>011-0047-18</t>
  </si>
  <si>
    <t>zach.shelledy@wmucsd.org</t>
  </si>
  <si>
    <t>011-0022-19</t>
  </si>
  <si>
    <t>elgin1780@yahoo.com</t>
  </si>
  <si>
    <t>006-0018-16</t>
  </si>
  <si>
    <t>julie.logemann@gmail.com</t>
  </si>
  <si>
    <t>011-0056-18</t>
  </si>
  <si>
    <t>008-0269-20</t>
  </si>
  <si>
    <t>jarrellcole05@gmail.com</t>
  </si>
  <si>
    <t>003-0089-17</t>
  </si>
  <si>
    <t>481-0070-15</t>
  </si>
  <si>
    <t>Peggy Christensen</t>
  </si>
  <si>
    <t>stacyannbell@gmail.com</t>
  </si>
  <si>
    <t>011-0028-16</t>
  </si>
  <si>
    <t>mattwhaley43@gmail.com</t>
  </si>
  <si>
    <t>002-0005-20</t>
  </si>
  <si>
    <t>mmorrison479@cbcsd.org</t>
  </si>
  <si>
    <t>011-0092-21</t>
  </si>
  <si>
    <t>angelavillafana357@gmail.com</t>
  </si>
  <si>
    <t>026-0216-21</t>
  </si>
  <si>
    <t>481-0069-17</t>
  </si>
  <si>
    <t>026-0073-18</t>
  </si>
  <si>
    <t>sasenneff22@gmail.com</t>
  </si>
  <si>
    <t>024-0307-19</t>
  </si>
  <si>
    <t>wcarebear30@gmail.com</t>
  </si>
  <si>
    <t>026-0418-20</t>
  </si>
  <si>
    <t>nloew23@gmail.com</t>
  </si>
  <si>
    <t>008-0175-20</t>
  </si>
  <si>
    <t>appenzellersam55@gmail.com</t>
  </si>
  <si>
    <t>026-0429-19</t>
  </si>
  <si>
    <t>chapmantrenton854@gmail.com</t>
  </si>
  <si>
    <t>015-0090-19</t>
  </si>
  <si>
    <t>jkkohles92@gmail.com</t>
  </si>
  <si>
    <t>007-0139-15</t>
  </si>
  <si>
    <t>schutrkg@hotmail.com</t>
  </si>
  <si>
    <t>453-0024-19</t>
  </si>
  <si>
    <t>jelias@eliasmpr.com</t>
  </si>
  <si>
    <t>481-0063-18</t>
  </si>
  <si>
    <t>atrain243@gmail.com</t>
  </si>
  <si>
    <t>001-0419-21</t>
  </si>
  <si>
    <t>mhammondcol2@gmail.com</t>
  </si>
  <si>
    <t>024-0072-19</t>
  </si>
  <si>
    <t>andrewv1@iastate.edu</t>
  </si>
  <si>
    <t>026-0234-19</t>
  </si>
  <si>
    <t>robin5sobot@gmail.com</t>
  </si>
  <si>
    <t>008-0317-18</t>
  </si>
  <si>
    <t>mattdbusch@live.com</t>
  </si>
  <si>
    <t>026-0787-20</t>
  </si>
  <si>
    <t>bettercallsam89@gmail.com</t>
  </si>
  <si>
    <t>453-0040-17</t>
  </si>
  <si>
    <t>spiesfamily4@yahoo.com</t>
  </si>
  <si>
    <t>008-0242-20</t>
  </si>
  <si>
    <t>sarierae80@yahoo.com</t>
  </si>
  <si>
    <t>014-0162-18</t>
  </si>
  <si>
    <t>sailoroneida@gmail.com</t>
  </si>
  <si>
    <t>025-0039-20</t>
  </si>
  <si>
    <t>mathisjustice9@gmail.com</t>
  </si>
  <si>
    <t>481-0022-21</t>
  </si>
  <si>
    <t>dragonsice17@gmail.com</t>
  </si>
  <si>
    <t>495-0048-17</t>
  </si>
  <si>
    <t>026-0261-18</t>
  </si>
  <si>
    <t>shakiratabb02@gmail.com</t>
  </si>
  <si>
    <t>002-0129-18</t>
  </si>
  <si>
    <t>005-0165-11</t>
  </si>
  <si>
    <t>jong@iastate.edu</t>
  </si>
  <si>
    <t>005-0147-21</t>
  </si>
  <si>
    <t>jacak31964@gmail.com</t>
  </si>
  <si>
    <t>005-0080-18</t>
  </si>
  <si>
    <t>026-0131-20</t>
  </si>
  <si>
    <t>jmullins1003@gmail.com</t>
  </si>
  <si>
    <t>009-0051-18</t>
  </si>
  <si>
    <t>001-0270-20</t>
  </si>
  <si>
    <t>theresacorsmeier@gmail.com</t>
  </si>
  <si>
    <t>026-0500-17</t>
  </si>
  <si>
    <t>006-0183-18</t>
  </si>
  <si>
    <t>hoeger.sydney@gmail.com</t>
  </si>
  <si>
    <t>026-0478-18</t>
  </si>
  <si>
    <t>ricketzen32@gmail.com</t>
  </si>
  <si>
    <t>007-0057-21</t>
  </si>
  <si>
    <t>vandert20@live.siouxcityschools.com</t>
  </si>
  <si>
    <t>002-0386-19</t>
  </si>
  <si>
    <t>014-0202-21</t>
  </si>
  <si>
    <t>sharlenethurn086@gmail.com</t>
  </si>
  <si>
    <t>026-0062-19</t>
  </si>
  <si>
    <t>zebragirl2019@gmail.com</t>
  </si>
  <si>
    <t>015-0131-15</t>
  </si>
  <si>
    <t>sformanek12@hotmail.com</t>
  </si>
  <si>
    <t>005-0042-21</t>
  </si>
  <si>
    <t>wilsonchristian180@gmail.com</t>
  </si>
  <si>
    <t>481-0047-21</t>
  </si>
  <si>
    <t>005-0071-21</t>
  </si>
  <si>
    <t>015-0383-18</t>
  </si>
  <si>
    <t>jroth77.jr@gmail.com</t>
  </si>
  <si>
    <t>007-0077-18</t>
  </si>
  <si>
    <t>21jesiokad@sblschools.com</t>
  </si>
  <si>
    <t>006-0340-21</t>
  </si>
  <si>
    <t>bennett.sc@live.com</t>
  </si>
  <si>
    <t>002-0115-17</t>
  </si>
  <si>
    <t>tjp101@morningside.edu</t>
  </si>
  <si>
    <t>015-0043-21</t>
  </si>
  <si>
    <t>026-0299-13</t>
  </si>
  <si>
    <t>madypottebaum27@gmail.com</t>
  </si>
  <si>
    <t>571-0013-18</t>
  </si>
  <si>
    <t>taylormaxwell1210@gmail.com</t>
  </si>
  <si>
    <t>014-0309-17</t>
  </si>
  <si>
    <t>contrerasjorge566@gmail.com</t>
  </si>
  <si>
    <t>093-0030-20</t>
  </si>
  <si>
    <t>21bieberjr@allamakee.k12.ia.us</t>
  </si>
  <si>
    <t>015-0299-18</t>
  </si>
  <si>
    <t>damont43@hotmail.com</t>
  </si>
  <si>
    <t>026-0026-20</t>
  </si>
  <si>
    <t>rapp-50801@yahoo.com</t>
  </si>
  <si>
    <t>065-0030-20</t>
  </si>
  <si>
    <t>jackson.johnsonjjj@gmail.com</t>
  </si>
  <si>
    <t>026-0388-18</t>
  </si>
  <si>
    <t>riverq3@gmail.com</t>
  </si>
  <si>
    <t>015-0171-14</t>
  </si>
  <si>
    <t>kwaddingham.33@gmail.com</t>
  </si>
  <si>
    <t>002-0360-20</t>
  </si>
  <si>
    <t>tjkerger@gmail.com</t>
  </si>
  <si>
    <t>026-0476-17</t>
  </si>
  <si>
    <t>TagalrnTheTyrant@gmail.com</t>
  </si>
  <si>
    <t>026-0790-20</t>
  </si>
  <si>
    <t>bbethards18@gmail.com</t>
  </si>
  <si>
    <t>014-0139-20</t>
  </si>
  <si>
    <t>jasmynaskew80@gmail.com</t>
  </si>
  <si>
    <t>025-0029-21</t>
  </si>
  <si>
    <t>brennon_short@hotmail.com</t>
  </si>
  <si>
    <t>014-0114-20</t>
  </si>
  <si>
    <t>margaret-voss@uiowa.edu</t>
  </si>
  <si>
    <t>013-0053-20</t>
  </si>
  <si>
    <t>medleylinda1@gmail.com</t>
  </si>
  <si>
    <t>008-0592-20</t>
  </si>
  <si>
    <t>ninja7707084@gmail.com</t>
  </si>
  <si>
    <t>026-0235-15</t>
  </si>
  <si>
    <t>tboelling@yahoo.com</t>
  </si>
  <si>
    <t>006-0068-16</t>
  </si>
  <si>
    <t>078-0031-20</t>
  </si>
  <si>
    <t>024-0075-18</t>
  </si>
  <si>
    <t>william.velasco10@gmail.com</t>
  </si>
  <si>
    <t>024-0072-16</t>
  </si>
  <si>
    <t>lhudson96@windstream.net</t>
  </si>
  <si>
    <t>008-0610-20</t>
  </si>
  <si>
    <t>fm84rocks@gmail.com</t>
  </si>
  <si>
    <t>026-0747-20</t>
  </si>
  <si>
    <t>Kelsey.Woodward@caremore.com</t>
  </si>
  <si>
    <t>007-0022-20</t>
  </si>
  <si>
    <t>mccoyeric528@gmail.com</t>
  </si>
  <si>
    <t>006-0471-19</t>
  </si>
  <si>
    <t>mccallumjackson@oskyschools.us</t>
  </si>
  <si>
    <t>007-0071-21</t>
  </si>
  <si>
    <t>026-0876-18</t>
  </si>
  <si>
    <t>ethanelswickjames@gmail.com</t>
  </si>
  <si>
    <t>006-0349-21</t>
  </si>
  <si>
    <t>phillipsimmons7269@yahoo.com</t>
  </si>
  <si>
    <t>006-0377-21</t>
  </si>
  <si>
    <t>kaliepatterson3@gmail.com</t>
  </si>
  <si>
    <t>026-0156-17</t>
  </si>
  <si>
    <t>cjhooper99@gmail.com</t>
  </si>
  <si>
    <t>014-0191-19</t>
  </si>
  <si>
    <t>ckaplan2001@gmail.com</t>
  </si>
  <si>
    <t>013-0190-20</t>
  </si>
  <si>
    <t>olds57john@gmail.com</t>
  </si>
  <si>
    <t>008-0385-19</t>
  </si>
  <si>
    <t>audra.schilling33@gmail.com</t>
  </si>
  <si>
    <t>001-0441-19</t>
  </si>
  <si>
    <t>normabrown87@gmail.com</t>
  </si>
  <si>
    <t>093-0026-17</t>
  </si>
  <si>
    <t>pattimathis1@gmail.com</t>
  </si>
  <si>
    <t>003-0056-18</t>
  </si>
  <si>
    <t>s.sector2813@gmail.com</t>
  </si>
  <si>
    <t>026-0645-21</t>
  </si>
  <si>
    <t>buildingempire16@gmail.com</t>
  </si>
  <si>
    <t>007-0192-18</t>
  </si>
  <si>
    <t>002-0009-17</t>
  </si>
  <si>
    <t>valerie.schuld@yahoo.com</t>
  </si>
  <si>
    <t>014-0066-15</t>
  </si>
  <si>
    <t>ahanson206@gmail.com</t>
  </si>
  <si>
    <t>026-0326-19</t>
  </si>
  <si>
    <t>jkberzett@gmail.com</t>
  </si>
  <si>
    <t>001-0255-19</t>
  </si>
  <si>
    <t>melissaisaacson@gmail.com</t>
  </si>
  <si>
    <t>093-0067-21</t>
  </si>
  <si>
    <t>catinamarie40@yahoo.com</t>
  </si>
  <si>
    <t>099-0041-20</t>
  </si>
  <si>
    <t>pmacfam@ncn.net</t>
  </si>
  <si>
    <t>026-0179-19</t>
  </si>
  <si>
    <t>jakek2769@gmail.com</t>
  </si>
  <si>
    <t>025-0052-21</t>
  </si>
  <si>
    <t>kaydenwitt236@gmail.com</t>
  </si>
  <si>
    <t>018-0003-18</t>
  </si>
  <si>
    <t>dalilas40@gmail.com</t>
  </si>
  <si>
    <t>014-0138-21</t>
  </si>
  <si>
    <t>kellymackey23@gmail.com</t>
  </si>
  <si>
    <t>026-0738-20</t>
  </si>
  <si>
    <t>jalaina.thompson12@gmail.com</t>
  </si>
  <si>
    <t>014-0009-21</t>
  </si>
  <si>
    <t>003-0108-20</t>
  </si>
  <si>
    <t>MastayshiaSS@gmail.com</t>
  </si>
  <si>
    <t>001-0123-13</t>
  </si>
  <si>
    <t>kimaquino27@yahoo.com</t>
  </si>
  <si>
    <t>011-0069-21</t>
  </si>
  <si>
    <t>holly.stevenson717@gmail.com</t>
  </si>
  <si>
    <t>065-0042-18</t>
  </si>
  <si>
    <t>quenandmarianelson@gmail.com</t>
  </si>
  <si>
    <t>001-0466-19</t>
  </si>
  <si>
    <t>squeaky_143@hotmail.com</t>
  </si>
  <si>
    <t>008-0056-19</t>
  </si>
  <si>
    <t>jasonsaylor961@gmail.com</t>
  </si>
  <si>
    <t>099-0043-21</t>
  </si>
  <si>
    <t>099-0046-21</t>
  </si>
  <si>
    <t>tristau@netamumail.com</t>
  </si>
  <si>
    <t>026-0224-20</t>
  </si>
  <si>
    <t>001-0548-21</t>
  </si>
  <si>
    <t>debbie3192@gmail.com</t>
  </si>
  <si>
    <t>008-0268-16</t>
  </si>
  <si>
    <t>013-0061-16</t>
  </si>
  <si>
    <t>tarilee73@yahoo.com</t>
  </si>
  <si>
    <t>011-0099-20</t>
  </si>
  <si>
    <t>025-0076-16</t>
  </si>
  <si>
    <t>evannfarrens@gmail.com</t>
  </si>
  <si>
    <t>005-0103-19</t>
  </si>
  <si>
    <t>garohlfs@dmacc.edu</t>
  </si>
  <si>
    <t>015-0144-19</t>
  </si>
  <si>
    <t>015-0178-21</t>
  </si>
  <si>
    <t>sherimundt72@icloud.com</t>
  </si>
  <si>
    <t>481-0037-14</t>
  </si>
  <si>
    <t>sav.whetstone@gmail.com</t>
  </si>
  <si>
    <t>026-0404-17</t>
  </si>
  <si>
    <t>hcunningham2448@gmail.com</t>
  </si>
  <si>
    <t>014-0149-20</t>
  </si>
  <si>
    <t>026-0545-19</t>
  </si>
  <si>
    <t>Blwilken.BW@gmail.com</t>
  </si>
  <si>
    <t>011-0040-19</t>
  </si>
  <si>
    <t>026-0267-20</t>
  </si>
  <si>
    <t>ramualdomontoya1234@gmail.com</t>
  </si>
  <si>
    <t>005-0133-16</t>
  </si>
  <si>
    <t>026-0529-17</t>
  </si>
  <si>
    <t>jlmaroon1317@gmail.com</t>
  </si>
  <si>
    <t>485-0024-15</t>
  </si>
  <si>
    <t>travisjwillet@gmail.com</t>
  </si>
  <si>
    <t>008-0482-20</t>
  </si>
  <si>
    <t>Damarcuswl@wloo.org</t>
  </si>
  <si>
    <t>015-0354-16</t>
  </si>
  <si>
    <t>ediehilly68@yahoo.com</t>
  </si>
  <si>
    <t>332-0041-19</t>
  </si>
  <si>
    <t>brassbow@yahoo.com</t>
  </si>
  <si>
    <t>006-0046-13</t>
  </si>
  <si>
    <t>cristymtoloza@gmail.com</t>
  </si>
  <si>
    <t>008-0378-19</t>
  </si>
  <si>
    <t>jeremyac01@gmail.com</t>
  </si>
  <si>
    <t>008-0009-22</t>
  </si>
  <si>
    <t>brentof87@outlook.com</t>
  </si>
  <si>
    <t>008-0525-20</t>
  </si>
  <si>
    <t>gthoma1234@hotmail.com</t>
  </si>
  <si>
    <t>026-0315-19</t>
  </si>
  <si>
    <t>003-0083-20</t>
  </si>
  <si>
    <t>026-0325-19</t>
  </si>
  <si>
    <t>014-0045-21</t>
  </si>
  <si>
    <t>jangus5544@gmail.com</t>
  </si>
  <si>
    <t>011-0078-16</t>
  </si>
  <si>
    <t>bbschrader@mepotelco.net</t>
  </si>
  <si>
    <t>011-0084-17</t>
  </si>
  <si>
    <t>tweetyjtaz@gmail.com</t>
  </si>
  <si>
    <t>007-0058-20</t>
  </si>
  <si>
    <t>chasethoreson@gmail.com</t>
  </si>
  <si>
    <t>026-0246-16</t>
  </si>
  <si>
    <t>livy3098@gmail.com</t>
  </si>
  <si>
    <t>026-0349-19</t>
  </si>
  <si>
    <t>elizabethnewton@outlook.com</t>
  </si>
  <si>
    <t>005-0023-18</t>
  </si>
  <si>
    <t>026-0642-19</t>
  </si>
  <si>
    <t>cactuscooler2023@gmail.com</t>
  </si>
  <si>
    <t>013-0270-15</t>
  </si>
  <si>
    <t>026-0195-20</t>
  </si>
  <si>
    <t>014-0412-20</t>
  </si>
  <si>
    <t>horselover200150@yahoo.com</t>
  </si>
  <si>
    <t>025-0008-18</t>
  </si>
  <si>
    <t>joehawks2019@icloud.com</t>
  </si>
  <si>
    <t>005-0097-17</t>
  </si>
  <si>
    <t>gwhayduke13@gmail.com</t>
  </si>
  <si>
    <t>008-0249-20</t>
  </si>
  <si>
    <t>014-0183-20</t>
  </si>
  <si>
    <t>092-0026-18</t>
  </si>
  <si>
    <t>badger1115@gmail.com</t>
  </si>
  <si>
    <t>093-0010-20</t>
  </si>
  <si>
    <t>bohra3@nicc.edu</t>
  </si>
  <si>
    <t>014-0136-20</t>
  </si>
  <si>
    <t>mikemerrill666@gmail.com</t>
  </si>
  <si>
    <t>009-0078-21</t>
  </si>
  <si>
    <t>024-0066-20</t>
  </si>
  <si>
    <t>alysha6510@gmail.com</t>
  </si>
  <si>
    <t>008-0331-19</t>
  </si>
  <si>
    <t>007-0038-19</t>
  </si>
  <si>
    <t>1tpablo@rvclass.org</t>
  </si>
  <si>
    <t>005-0119-21</t>
  </si>
  <si>
    <t>reinholtzv@gmail.com</t>
  </si>
  <si>
    <t>093-0007-17</t>
  </si>
  <si>
    <t>hruska_s@yahoo.com</t>
  </si>
  <si>
    <t>005-0134-18</t>
  </si>
  <si>
    <t>randydowns48@gmail.com</t>
  </si>
  <si>
    <t>024-0019-16</t>
  </si>
  <si>
    <t>torgersonm1@central.edu</t>
  </si>
  <si>
    <t>093-0001-20</t>
  </si>
  <si>
    <t>dylanelsbernd@gmail.com</t>
  </si>
  <si>
    <t>485-0084-20</t>
  </si>
  <si>
    <t>blatzs@nicc.edu</t>
  </si>
  <si>
    <t>065-0060-17</t>
  </si>
  <si>
    <t>rungedogs@gmail.com</t>
  </si>
  <si>
    <t>013-0274-19</t>
  </si>
  <si>
    <t>lbruflodt3@gmail.com</t>
  </si>
  <si>
    <t>001-0013-20</t>
  </si>
  <si>
    <t>Amy March</t>
  </si>
  <si>
    <t>pamsmithkidd121602@gmail.com</t>
  </si>
  <si>
    <t>005-0125-21</t>
  </si>
  <si>
    <t>markahb@gmail.com</t>
  </si>
  <si>
    <t>026-0075-20</t>
  </si>
  <si>
    <t>glennmathewturner@gmail.com</t>
  </si>
  <si>
    <t>026-0693-19</t>
  </si>
  <si>
    <t>bg0603@icloud.com</t>
  </si>
  <si>
    <t>003-0037-16</t>
  </si>
  <si>
    <t>jones52401@gmail.com</t>
  </si>
  <si>
    <t>026-0141-20</t>
  </si>
  <si>
    <t>Laura Gray</t>
  </si>
  <si>
    <t>nightshadedwolf@gmail.com</t>
  </si>
  <si>
    <t>092-0084-20</t>
  </si>
  <si>
    <t>kitties.sparkles123@gmail.com</t>
  </si>
  <si>
    <t>332-0078-19</t>
  </si>
  <si>
    <t>014-0167-15</t>
  </si>
  <si>
    <t>jacquesa@alumni.uni.edu</t>
  </si>
  <si>
    <t>009-0008-21</t>
  </si>
  <si>
    <t>riccicoyle@hotmail.com</t>
  </si>
  <si>
    <t>332-0101-20</t>
  </si>
  <si>
    <t>malloryl02@icloud.com</t>
  </si>
  <si>
    <t>026-0230-20</t>
  </si>
  <si>
    <t>killerjes27@gmail.com</t>
  </si>
  <si>
    <t>014-0370-16</t>
  </si>
  <si>
    <t>jesuslovetwo@gmail.com</t>
  </si>
  <si>
    <t>003-0055-20</t>
  </si>
  <si>
    <t>larryrm6@aol.com</t>
  </si>
  <si>
    <t>007-0259-18</t>
  </si>
  <si>
    <t>453-0016-22</t>
  </si>
  <si>
    <t>apeniston23@icloud.com</t>
  </si>
  <si>
    <t>008-0291-17</t>
  </si>
  <si>
    <t>KaylaAnnK26@gmail.com</t>
  </si>
  <si>
    <t>001-0461-19</t>
  </si>
  <si>
    <t>emilyjswailes@gmail.com</t>
  </si>
  <si>
    <t>024-0062-20</t>
  </si>
  <si>
    <t>sherwoodjp@gmail.com</t>
  </si>
  <si>
    <t>495-0037-12</t>
  </si>
  <si>
    <t>courtveen.25@gmail.com</t>
  </si>
  <si>
    <t>008-0140-18</t>
  </si>
  <si>
    <t>msmel4468@aol.com</t>
  </si>
  <si>
    <t>065-0018-16</t>
  </si>
  <si>
    <t>Cassidybaatz123@gmail.com</t>
  </si>
  <si>
    <t>008-0227-21</t>
  </si>
  <si>
    <t>024-0121-13</t>
  </si>
  <si>
    <t>jpack217@gmail.com</t>
  </si>
  <si>
    <t>006-0120-19</t>
  </si>
  <si>
    <t>026-0183-15</t>
  </si>
  <si>
    <t>jessica-rebouche@uiowa.edu</t>
  </si>
  <si>
    <t>006-0104-19</t>
  </si>
  <si>
    <t>lincolnspaur@gmail.com</t>
  </si>
  <si>
    <t>007-0116-17</t>
  </si>
  <si>
    <t>008-0383-21</t>
  </si>
  <si>
    <t>bgmotors41@gmail.com</t>
  </si>
  <si>
    <t>007-0206-16</t>
  </si>
  <si>
    <t>002-0011-19</t>
  </si>
  <si>
    <t>yberumen123@gmail.com</t>
  </si>
  <si>
    <t>011-0178-21</t>
  </si>
  <si>
    <t>014-0010-20</t>
  </si>
  <si>
    <t>dimcox20@gmail.com</t>
  </si>
  <si>
    <t>078-0037-20</t>
  </si>
  <si>
    <t>014-0182-20</t>
  </si>
  <si>
    <t>michelle.m.king@live.com</t>
  </si>
  <si>
    <t>003-0120-15</t>
  </si>
  <si>
    <t>aherrington@salfcs.org</t>
  </si>
  <si>
    <t>013-0224-14</t>
  </si>
  <si>
    <t>daniellejwadsworth@gmail.com</t>
  </si>
  <si>
    <t>005-0129-16</t>
  </si>
  <si>
    <t>013-0318-15</t>
  </si>
  <si>
    <t>jilljkg74@gmail.com</t>
  </si>
  <si>
    <t>014-0396-15</t>
  </si>
  <si>
    <t>ross93g2@hotmail.com</t>
  </si>
  <si>
    <t>002-0220-19</t>
  </si>
  <si>
    <t>sue@omahadoor.com</t>
  </si>
  <si>
    <t>026-0827-20</t>
  </si>
  <si>
    <t>MICK-4D@hotmail.com</t>
  </si>
  <si>
    <t>015-0269-21</t>
  </si>
  <si>
    <t>danas.decorating@gmail.com</t>
  </si>
  <si>
    <t>099-0041-21</t>
  </si>
  <si>
    <t>024-0271-18</t>
  </si>
  <si>
    <t>008-0347-21</t>
  </si>
  <si>
    <t>kwinterink21@gmail.com</t>
  </si>
  <si>
    <t>006-0336-21</t>
  </si>
  <si>
    <t>008-0294-19</t>
  </si>
  <si>
    <t>scottschrage84@gmail.com</t>
  </si>
  <si>
    <t>485-0017-17</t>
  </si>
  <si>
    <t>pennydixon62@yahoo.com</t>
  </si>
  <si>
    <t>014-0342-16</t>
  </si>
  <si>
    <t>makenzimarek@gmail.com</t>
  </si>
  <si>
    <t>002-0149-17</t>
  </si>
  <si>
    <t>jamesneeson346@gmail.com</t>
  </si>
  <si>
    <t>042-0117-21</t>
  </si>
  <si>
    <t>Jayla Elgin</t>
  </si>
  <si>
    <t>bdaniels7@live.com</t>
  </si>
  <si>
    <t>014-0215-16</t>
  </si>
  <si>
    <t>sashadle@hotmail.com</t>
  </si>
  <si>
    <t>078-0034-18</t>
  </si>
  <si>
    <t>mallorymohr00@gmail.com</t>
  </si>
  <si>
    <t>026-0335-13</t>
  </si>
  <si>
    <t>kopeckygriffin@gmail.com</t>
  </si>
  <si>
    <t>008-0373-19</t>
  </si>
  <si>
    <t>026-0306-19</t>
  </si>
  <si>
    <t>anastasiamcbride@outlook.com</t>
  </si>
  <si>
    <t>014-0037-18</t>
  </si>
  <si>
    <t>ipkazembe@gmail.com</t>
  </si>
  <si>
    <t>332-0072-20</t>
  </si>
  <si>
    <t>jordanshum770@gmail.com</t>
  </si>
  <si>
    <t>003-0033-20</t>
  </si>
  <si>
    <t>isolis2727@gmail.com</t>
  </si>
  <si>
    <t>024-0102-19</t>
  </si>
  <si>
    <t>lindsaymroach@gmail.com</t>
  </si>
  <si>
    <t>008-0399-19</t>
  </si>
  <si>
    <t>frankiekennison@gmail.com</t>
  </si>
  <si>
    <t>093-0036-20</t>
  </si>
  <si>
    <t>melissareinhardt73@gmail.com</t>
  </si>
  <si>
    <t>014-0185-21</t>
  </si>
  <si>
    <t>026-0188-20</t>
  </si>
  <si>
    <t>rondog338@gmail.com</t>
  </si>
  <si>
    <t>015-0076-21</t>
  </si>
  <si>
    <t>aahuber88@gmail.com</t>
  </si>
  <si>
    <t>001-0392-16</t>
  </si>
  <si>
    <t>marchildenbrand89@gmail.com</t>
  </si>
  <si>
    <t>013-0058-18</t>
  </si>
  <si>
    <t>faithohazer@gmail.com</t>
  </si>
  <si>
    <t>065-0028-20</t>
  </si>
  <si>
    <t>008-0139-18</t>
  </si>
  <si>
    <t>013-0178-19</t>
  </si>
  <si>
    <t>calhounlatosha@yahoo.com</t>
  </si>
  <si>
    <t>481-0055-16</t>
  </si>
  <si>
    <t>dbhowell@netins.net</t>
  </si>
  <si>
    <t>006-0257-19</t>
  </si>
  <si>
    <t>Heather Atkinson</t>
  </si>
  <si>
    <t>andrewscott1992@gmail.com</t>
  </si>
  <si>
    <t>026-0106-15</t>
  </si>
  <si>
    <t>sydnesjudy867@gmail.com</t>
  </si>
  <si>
    <t>001-0408-18</t>
  </si>
  <si>
    <t>008-0215-21</t>
  </si>
  <si>
    <t>barrett50703@gmail.com</t>
  </si>
  <si>
    <t>005-0139-15</t>
  </si>
  <si>
    <t>099-0030-21</t>
  </si>
  <si>
    <t>breebetten@gmail.com</t>
  </si>
  <si>
    <t>001-0414-21</t>
  </si>
  <si>
    <t>rachel.hall.4833@gmail.com</t>
  </si>
  <si>
    <t>011-0284-20</t>
  </si>
  <si>
    <t>093-0089-19</t>
  </si>
  <si>
    <t>qhageman5706@gmail.com</t>
  </si>
  <si>
    <t>025-0004-18</t>
  </si>
  <si>
    <t>078-0018-20</t>
  </si>
  <si>
    <t>024-0001-19</t>
  </si>
  <si>
    <t>lydia.denniston@gmail.com</t>
  </si>
  <si>
    <t>015-0327-19</t>
  </si>
  <si>
    <t>mbierman1017@gmail.com</t>
  </si>
  <si>
    <t>001-0147-20</t>
  </si>
  <si>
    <t>jomisi23@gmail.com</t>
  </si>
  <si>
    <t>015-0097-19</t>
  </si>
  <si>
    <t>besrtim@yahoo.com</t>
  </si>
  <si>
    <t>008-0009-21</t>
  </si>
  <si>
    <t>aprilpowell86@gmail.com</t>
  </si>
  <si>
    <t>015-0186-17</t>
  </si>
  <si>
    <t>Alyssa.gerdes@gmail.com</t>
  </si>
  <si>
    <t>006-0070-20</t>
  </si>
  <si>
    <t>sonyamarie76@gmail.com</t>
  </si>
  <si>
    <t>002-0164-19</t>
  </si>
  <si>
    <t>bartleya14@icloud.com</t>
  </si>
  <si>
    <t>013-0204-19</t>
  </si>
  <si>
    <t>005-0117-18</t>
  </si>
  <si>
    <t>001-0435-19</t>
  </si>
  <si>
    <t>Holly Mateer</t>
  </si>
  <si>
    <t>Kitley049@gmail.com</t>
  </si>
  <si>
    <t>003-0319-21</t>
  </si>
  <si>
    <t>msgarn@att.net</t>
  </si>
  <si>
    <t>014-0195-20</t>
  </si>
  <si>
    <t>008-0434-21</t>
  </si>
  <si>
    <t>goeckee@yahoo.com</t>
  </si>
  <si>
    <t>008-0154-18</t>
  </si>
  <si>
    <t>cshields220824@gmail.com</t>
  </si>
  <si>
    <t>078-0071-21</t>
  </si>
  <si>
    <t>hawkso227@msn.com</t>
  </si>
  <si>
    <t>024-0094-18</t>
  </si>
  <si>
    <t>boonesboro@gmail.com</t>
  </si>
  <si>
    <t>026-0625-18</t>
  </si>
  <si>
    <t>AHerron14@gmail.com</t>
  </si>
  <si>
    <t>014-0211-19</t>
  </si>
  <si>
    <t>johnjeter74@gmail.com</t>
  </si>
  <si>
    <t>005-0139-11</t>
  </si>
  <si>
    <t>samanthaf542@gmail.com</t>
  </si>
  <si>
    <t>026-0137-20</t>
  </si>
  <si>
    <t>johnfianku@gmail.com</t>
  </si>
  <si>
    <t>014-0137-20</t>
  </si>
  <si>
    <t>havery0510@gmail.com</t>
  </si>
  <si>
    <t>002-0129-20</t>
  </si>
  <si>
    <t>jmklein90@gmail.com</t>
  </si>
  <si>
    <t>026-0227-20</t>
  </si>
  <si>
    <t>christineodom@yahoo.com</t>
  </si>
  <si>
    <t>006-0148-21</t>
  </si>
  <si>
    <t>daleobrien6@gmail.com</t>
  </si>
  <si>
    <t>002-0118-19</t>
  </si>
  <si>
    <t>hoaxyhair@gmail.com</t>
  </si>
  <si>
    <t>026-0489-19</t>
  </si>
  <si>
    <t>zanderbman@live.com</t>
  </si>
  <si>
    <t>065-0077-18</t>
  </si>
  <si>
    <t>mgdhollander@hotmail.com</t>
  </si>
  <si>
    <t>026-0216-20</t>
  </si>
  <si>
    <t>008-0284-19</t>
  </si>
  <si>
    <t>btimmer08@gmail.com</t>
  </si>
  <si>
    <t>007-0235-18</t>
  </si>
  <si>
    <t>ryanhalo99@gmail.com</t>
  </si>
  <si>
    <t>001-0423-18</t>
  </si>
  <si>
    <t>christinelm12@yahoo.com</t>
  </si>
  <si>
    <t>014-0083-18</t>
  </si>
  <si>
    <t>traci-bruns@uiowa.edu</t>
  </si>
  <si>
    <t>013-0356-20</t>
  </si>
  <si>
    <t>kammlm147@gmail.com</t>
  </si>
  <si>
    <t>078-0020-20</t>
  </si>
  <si>
    <t>008-0453-21</t>
  </si>
  <si>
    <t>glomickey1@gmail.com</t>
  </si>
  <si>
    <t>008-0011-19</t>
  </si>
  <si>
    <t>014-0104-20</t>
  </si>
  <si>
    <t>015-0039-19</t>
  </si>
  <si>
    <t>hunterkoster2000@gmail.com</t>
  </si>
  <si>
    <t>026-0492-19</t>
  </si>
  <si>
    <t>abdi.abdinoor@dmschools.org</t>
  </si>
  <si>
    <t>093-0062-17</t>
  </si>
  <si>
    <t>mfoels@gmail.com</t>
  </si>
  <si>
    <t>026-0184-16</t>
  </si>
  <si>
    <t>david.rider@mediacombb.net</t>
  </si>
  <si>
    <t>026-0085-19</t>
  </si>
  <si>
    <t>vtecforlife21@gmail.com</t>
  </si>
  <si>
    <t>453-0062-21</t>
  </si>
  <si>
    <t>cp107072@mcsdonline.org</t>
  </si>
  <si>
    <t>024-0092-18</t>
  </si>
  <si>
    <t>alyssakaehouser@gmail.com</t>
  </si>
  <si>
    <t>065-0063-18</t>
  </si>
  <si>
    <t>EvanVanBemmel2000@gmail.com</t>
  </si>
  <si>
    <t>026-0604-18</t>
  </si>
  <si>
    <t>065-0068-21</t>
  </si>
  <si>
    <t>kaitlynmiamccormick@gmail.com</t>
  </si>
  <si>
    <t>453-0007-18</t>
  </si>
  <si>
    <t>jsgirl4ever14@gmail.com</t>
  </si>
  <si>
    <t>002-0062-19</t>
  </si>
  <si>
    <t>mbrannan034@cbcsd.org</t>
  </si>
  <si>
    <t>026-0192-19</t>
  </si>
  <si>
    <t>angeden01@gmail.com</t>
  </si>
  <si>
    <t>026-0520-19</t>
  </si>
  <si>
    <t>jcrmielke@gmail.com</t>
  </si>
  <si>
    <t>007-0266-17</t>
  </si>
  <si>
    <t>treythomaswinge@gmail.com</t>
  </si>
  <si>
    <t>026-0221-19</t>
  </si>
  <si>
    <t>angieclouser@gmail.com</t>
  </si>
  <si>
    <t>026-0079-19</t>
  </si>
  <si>
    <t>078-0049-20</t>
  </si>
  <si>
    <t>18spencerpetersen@gmail.com</t>
  </si>
  <si>
    <t>001-0554-18</t>
  </si>
  <si>
    <t>tyleemc13@gmail.com</t>
  </si>
  <si>
    <t>001-0265-21</t>
  </si>
  <si>
    <t>011-0097-18</t>
  </si>
  <si>
    <t>453-0010-15</t>
  </si>
  <si>
    <t>mia-dean@uiowa.edu</t>
  </si>
  <si>
    <t>014-0351-20</t>
  </si>
  <si>
    <t>jenniferessex553@gmail.com</t>
  </si>
  <si>
    <t>042-0036-18</t>
  </si>
  <si>
    <t>lskauff@gmail.com</t>
  </si>
  <si>
    <t>014-0242-19</t>
  </si>
  <si>
    <t>cmsobaski@gmail.com</t>
  </si>
  <si>
    <t>042-0049-20</t>
  </si>
  <si>
    <t>smmorri50158@gmail.com</t>
  </si>
  <si>
    <t>013-0111-18</t>
  </si>
  <si>
    <t>jimminer18@gmail.com</t>
  </si>
  <si>
    <t>007-0089-18</t>
  </si>
  <si>
    <t>026-0148-20</t>
  </si>
  <si>
    <t>026-0265-21</t>
  </si>
  <si>
    <t>Crimsonjeff69@gmail.com</t>
  </si>
  <si>
    <t>026-0386-20</t>
  </si>
  <si>
    <t>011-0097-19</t>
  </si>
  <si>
    <t>002-0174-19</t>
  </si>
  <si>
    <t>caistrope0@gmail.com</t>
  </si>
  <si>
    <t>026-0361-17</t>
  </si>
  <si>
    <t>montour.photography1@gmail.com</t>
  </si>
  <si>
    <t>002-0165-17</t>
  </si>
  <si>
    <t>332-0082-20</t>
  </si>
  <si>
    <t>014-0141-21</t>
  </si>
  <si>
    <t>dustenkemp0@gmail.com</t>
  </si>
  <si>
    <t>042-0172-18</t>
  </si>
  <si>
    <t>angleyes20012@yahoo.com</t>
  </si>
  <si>
    <t>001-0384-18</t>
  </si>
  <si>
    <t>cookdoug50@gmail.com</t>
  </si>
  <si>
    <t>332-0020-21</t>
  </si>
  <si>
    <t>vand@essex.k12.ia.us</t>
  </si>
  <si>
    <t>099-0050-21</t>
  </si>
  <si>
    <t>noemail@gmail.com</t>
  </si>
  <si>
    <t>024-0140-20</t>
  </si>
  <si>
    <t>jerry.stinn@colorbiotics.com</t>
  </si>
  <si>
    <t>015-0348-19</t>
  </si>
  <si>
    <t>kauffman.heather13@gmail.com</t>
  </si>
  <si>
    <t>013-0021-13</t>
  </si>
  <si>
    <t>reid.mettert@loras.edu</t>
  </si>
  <si>
    <t>014-0416-20</t>
  </si>
  <si>
    <t>michoeun@gmail.com</t>
  </si>
  <si>
    <t>008-0042-10</t>
  </si>
  <si>
    <t>georgebahrenholz@gmail.com</t>
  </si>
  <si>
    <t>009-0065-21</t>
  </si>
  <si>
    <t>015-0121-17</t>
  </si>
  <si>
    <t>icefire1393@gmail.com</t>
  </si>
  <si>
    <t>007-0216-18</t>
  </si>
  <si>
    <t>Pdeem88@gmail.com</t>
  </si>
  <si>
    <t>001-0237-20</t>
  </si>
  <si>
    <t>hannamartin33@gmail.com</t>
  </si>
  <si>
    <t>014-0038-20</t>
  </si>
  <si>
    <t>bandbdonkersloot@yahoo.com</t>
  </si>
  <si>
    <t>026-0368-19</t>
  </si>
  <si>
    <t>karebearcares3@gmail.com</t>
  </si>
  <si>
    <t>015-0260-21</t>
  </si>
  <si>
    <t>ecklorlisa14@gmail.com</t>
  </si>
  <si>
    <t>093-0075-16</t>
  </si>
  <si>
    <t>barbiekossman@gmail.com</t>
  </si>
  <si>
    <t>026-0821-20</t>
  </si>
  <si>
    <t>015-0154-19</t>
  </si>
  <si>
    <t>keishahardy3@gmail.com</t>
  </si>
  <si>
    <t>026-0774-20</t>
  </si>
  <si>
    <t>mclayton878@gmail.com</t>
  </si>
  <si>
    <t>093-0009-19</t>
  </si>
  <si>
    <t>schirmers@nicc.edu</t>
  </si>
  <si>
    <t>026-0367-18</t>
  </si>
  <si>
    <t>kylie.perez14@gmail.com</t>
  </si>
  <si>
    <t>013-0256-15</t>
  </si>
  <si>
    <t>fjdrake@msn.com</t>
  </si>
  <si>
    <t>011-0125-19</t>
  </si>
  <si>
    <t>002-0548-18</t>
  </si>
  <si>
    <t>006-0180-19</t>
  </si>
  <si>
    <t>mills.clair.jhean@outlook.com</t>
  </si>
  <si>
    <t>015-0251-21</t>
  </si>
  <si>
    <t>ericdozier1989@gmail.com</t>
  </si>
  <si>
    <t>042-0063-21</t>
  </si>
  <si>
    <t>005-0070-21</t>
  </si>
  <si>
    <t>scott.daydrywall@gmail.com</t>
  </si>
  <si>
    <t>014-0050-21</t>
  </si>
  <si>
    <t>harold.r.chouest.jr2014@gmail.com</t>
  </si>
  <si>
    <t>065-0071-19</t>
  </si>
  <si>
    <t>jackmaster1996@gmail.com</t>
  </si>
  <si>
    <t>015-0301-20</t>
  </si>
  <si>
    <t>wind_decor@yahoo.com</t>
  </si>
  <si>
    <t>485-0049-20</t>
  </si>
  <si>
    <t>quintincatron@gmail.com</t>
  </si>
  <si>
    <t>065-0011-21</t>
  </si>
  <si>
    <t>013-0179-19</t>
  </si>
  <si>
    <t>cloieWilson4@gmail.com</t>
  </si>
  <si>
    <t>013-0213-17</t>
  </si>
  <si>
    <t>elizabeth-konrardy@uiowa.edu</t>
  </si>
  <si>
    <t>025-0054-17</t>
  </si>
  <si>
    <t>001-0281-20</t>
  </si>
  <si>
    <t>arieanajohnson12@yahoo.com</t>
  </si>
  <si>
    <t>014-0001-18</t>
  </si>
  <si>
    <t>jaredh72@hotmail.com</t>
  </si>
  <si>
    <t>005-0073-17</t>
  </si>
  <si>
    <t>hayleybell512@gmail.com</t>
  </si>
  <si>
    <t>093-0109-18</t>
  </si>
  <si>
    <t>kasemeierbradley1@gmail.com</t>
  </si>
  <si>
    <t>015-0073-20</t>
  </si>
  <si>
    <t>Sarah Dokken</t>
  </si>
  <si>
    <t>oshaneksky21@gmail.com</t>
  </si>
  <si>
    <t>024-0079-20</t>
  </si>
  <si>
    <t>bwilson35@live.com</t>
  </si>
  <si>
    <t>332-0038-19</t>
  </si>
  <si>
    <t>austin20roberts20@gmail.com</t>
  </si>
  <si>
    <t>485-0002-16</t>
  </si>
  <si>
    <t>brstheisen@netins.net</t>
  </si>
  <si>
    <t>042-0125-19</t>
  </si>
  <si>
    <t>lhutchens2016@gmail.com</t>
  </si>
  <si>
    <t>001-0026-17</t>
  </si>
  <si>
    <t>huey.olinger@yahoo.com</t>
  </si>
  <si>
    <t>481-0048-19</t>
  </si>
  <si>
    <t>cleaver.tess06@yahoo.com</t>
  </si>
  <si>
    <t>026-0516-18</t>
  </si>
  <si>
    <t>castrosonia3000@icloud.com</t>
  </si>
  <si>
    <t>026-0820-20</t>
  </si>
  <si>
    <t>marniemmckay@gmail.com</t>
  </si>
  <si>
    <t>007-0197-19</t>
  </si>
  <si>
    <t>003-0037-17</t>
  </si>
  <si>
    <t>retrac2@mchsi.com</t>
  </si>
  <si>
    <t>001-0063-19</t>
  </si>
  <si>
    <t>Akaplanaj1995@gmail.com</t>
  </si>
  <si>
    <t>015-0078-21</t>
  </si>
  <si>
    <t>015-0184-21</t>
  </si>
  <si>
    <t>bienemily4669@gmail.com</t>
  </si>
  <si>
    <t>006-0204-19</t>
  </si>
  <si>
    <t>jchittenden1974@yahoo.com</t>
  </si>
  <si>
    <t>026-0094-20</t>
  </si>
  <si>
    <t>alexiskimmel74@gmail.com</t>
  </si>
  <si>
    <t>014-0081-21</t>
  </si>
  <si>
    <t>485-0046-16</t>
  </si>
  <si>
    <t>goldensoph1997@gmail.com</t>
  </si>
  <si>
    <t>003-0185-17</t>
  </si>
  <si>
    <t>008-0054-19</t>
  </si>
  <si>
    <t>bit286@yahoo.com</t>
  </si>
  <si>
    <t>026-0369-18</t>
  </si>
  <si>
    <t>luv2fly0714@gmail.com</t>
  </si>
  <si>
    <t>065-0080-18</t>
  </si>
  <si>
    <t>knoxdawn@rocketmail.com</t>
  </si>
  <si>
    <t>093-0102-21</t>
  </si>
  <si>
    <t>mryan62814@hotmail.com</t>
  </si>
  <si>
    <t>453-0066-21</t>
  </si>
  <si>
    <t>painter.deb@yahoo.com</t>
  </si>
  <si>
    <t>005-0069-21</t>
  </si>
  <si>
    <t>tbinkley1996@yahoo.com</t>
  </si>
  <si>
    <t>011-0013-20</t>
  </si>
  <si>
    <t>sadbiddenstadt@keokuk.schools.org</t>
  </si>
  <si>
    <t>008-0456-17</t>
  </si>
  <si>
    <t>thomas.klingman@gmail.com</t>
  </si>
  <si>
    <t>025-0045-19</t>
  </si>
  <si>
    <t>clayfrye766@gmail.com</t>
  </si>
  <si>
    <t>011-0076-19</t>
  </si>
  <si>
    <t>Davontialagoon84@gmail.com</t>
  </si>
  <si>
    <t>013-0127-18</t>
  </si>
  <si>
    <t>015-0053-19</t>
  </si>
  <si>
    <t>eideellana11@icloud.com</t>
  </si>
  <si>
    <t>026-0757-20</t>
  </si>
  <si>
    <t>jakeschaper53@gmail.com</t>
  </si>
  <si>
    <t>042-0069-20</t>
  </si>
  <si>
    <t>slagelsara880@gmail.com</t>
  </si>
  <si>
    <t>009-0026-17</t>
  </si>
  <si>
    <t>lysapinon@yahoo.com</t>
  </si>
  <si>
    <t>008-0522-20</t>
  </si>
  <si>
    <t>014-0074-19</t>
  </si>
  <si>
    <t>laurie2166@gmail.com</t>
  </si>
  <si>
    <t>093-0004-19</t>
  </si>
  <si>
    <t>dillonleff@protonmail.com</t>
  </si>
  <si>
    <t>014-0082-21</t>
  </si>
  <si>
    <t>chelseamegansmith93@gmail.com</t>
  </si>
  <si>
    <t>026-0601-19</t>
  </si>
  <si>
    <t>jonathanmillerg84@gmail.com</t>
  </si>
  <si>
    <t>001-0037-14</t>
  </si>
  <si>
    <t>austin.m.schmuecker@gmail.com</t>
  </si>
  <si>
    <t>026-0626-19</t>
  </si>
  <si>
    <t>aliciavandorn@hotmail.com</t>
  </si>
  <si>
    <t>008-0288-18</t>
  </si>
  <si>
    <t>will40football@gmail.com</t>
  </si>
  <si>
    <t>093-0093-21</t>
  </si>
  <si>
    <t>joannefulsaas@hotmail.com</t>
  </si>
  <si>
    <t>014-0193-20</t>
  </si>
  <si>
    <t>026-0383-16</t>
  </si>
  <si>
    <t>LoganTLarson@gmail.com</t>
  </si>
  <si>
    <t>065-0020-21</t>
  </si>
  <si>
    <t>glocarroll52@gmail.com</t>
  </si>
  <si>
    <t>001-0280-19</t>
  </si>
  <si>
    <t>014-0185-20</t>
  </si>
  <si>
    <t>bbarbouroske@gmail.com</t>
  </si>
  <si>
    <t>001-0029-19</t>
  </si>
  <si>
    <t>corywells@msn.com</t>
  </si>
  <si>
    <t>006-0112-19</t>
  </si>
  <si>
    <t>575-0001-19</t>
  </si>
  <si>
    <t>brealmueller@gmail.com</t>
  </si>
  <si>
    <t>013-0286-19</t>
  </si>
  <si>
    <t>vanessabgarza144@gmail.com</t>
  </si>
  <si>
    <t>014-0129-20</t>
  </si>
  <si>
    <t>smillers1717@gmail.com</t>
  </si>
  <si>
    <t>006-0209-21</t>
  </si>
  <si>
    <t>amaria@netins.net</t>
  </si>
  <si>
    <t>015-0289-21</t>
  </si>
  <si>
    <t>M.jesse.143.2006@gmail.com</t>
  </si>
  <si>
    <t>007-0059-20</t>
  </si>
  <si>
    <t>annabelleeinhorn3@gmail.com</t>
  </si>
  <si>
    <t>571-0039-21</t>
  </si>
  <si>
    <t>025-0009-18</t>
  </si>
  <si>
    <t>cahj82@yahoo.com</t>
  </si>
  <si>
    <t>002-0103-20</t>
  </si>
  <si>
    <t>kuenningmiah16@gmail.com</t>
  </si>
  <si>
    <t>026-0276-20</t>
  </si>
  <si>
    <t>Maggiemcmahon2021@gmail.com</t>
  </si>
  <si>
    <t>001-0300-16</t>
  </si>
  <si>
    <t>blakedunne1220@gmail.com</t>
  </si>
  <si>
    <t>008-0042-19</t>
  </si>
  <si>
    <t>podnar650@gmail.com</t>
  </si>
  <si>
    <t>011-0236-19</t>
  </si>
  <si>
    <t>ashtri94@gmail.com</t>
  </si>
  <si>
    <t>003-0150-19</t>
  </si>
  <si>
    <t>racquelle2814@gmail.com</t>
  </si>
  <si>
    <t>015-0343-20</t>
  </si>
  <si>
    <t>bradley.kleinow1@gmail.com</t>
  </si>
  <si>
    <t>026-0172-21</t>
  </si>
  <si>
    <t>amylalles@gmail.com</t>
  </si>
  <si>
    <t>025-0065-18</t>
  </si>
  <si>
    <t>015-0145-21</t>
  </si>
  <si>
    <t>008-0622-20</t>
  </si>
  <si>
    <t>smiles8135@hotmail.com</t>
  </si>
  <si>
    <t>013-0223-18</t>
  </si>
  <si>
    <t>jcbug1113@gmail.com</t>
  </si>
  <si>
    <t>025-0011-20</t>
  </si>
  <si>
    <t>006-0006-19</t>
  </si>
  <si>
    <t>j.chapple2019@gmail.com</t>
  </si>
  <si>
    <t>002-0212-18</t>
  </si>
  <si>
    <t>024-0130-17</t>
  </si>
  <si>
    <t>mariannerussell710@gmail.com</t>
  </si>
  <si>
    <t>093-0111-21</t>
  </si>
  <si>
    <t>zellerrodney62@gmail.com</t>
  </si>
  <si>
    <t>575-0015-17</t>
  </si>
  <si>
    <t>tre.burge@gmail.com</t>
  </si>
  <si>
    <t>008-0375-18</t>
  </si>
  <si>
    <t>Isaivionl1@wloo.org</t>
  </si>
  <si>
    <t>026-0083-20</t>
  </si>
  <si>
    <t>008-0194-20</t>
  </si>
  <si>
    <t>jazlinnwalker21@gmail.com</t>
  </si>
  <si>
    <t>008-0074-16</t>
  </si>
  <si>
    <t>agerpelding@gmail.com</t>
  </si>
  <si>
    <t>575-0012-18</t>
  </si>
  <si>
    <t>Abigail Nelson</t>
  </si>
  <si>
    <t>emilyhamlin26@gmail.com</t>
  </si>
  <si>
    <t>001-0112-14</t>
  </si>
  <si>
    <t>parkerkatelyn07@gmail.com</t>
  </si>
  <si>
    <t>008-0430-19</t>
  </si>
  <si>
    <t>007-0207-21</t>
  </si>
  <si>
    <t>jkliver@premieronline.net</t>
  </si>
  <si>
    <t>007-0035-21</t>
  </si>
  <si>
    <t>aanensl20@live.siouxcityschools.com</t>
  </si>
  <si>
    <t>001-0326-13</t>
  </si>
  <si>
    <t>katelyn.klostermann820@gmail.com</t>
  </si>
  <si>
    <t>065-0010-20</t>
  </si>
  <si>
    <t>angelvanderz@icloud.com</t>
  </si>
  <si>
    <t>065-0078-14</t>
  </si>
  <si>
    <t>heithusc@gmail.com</t>
  </si>
  <si>
    <t>093-0023-16</t>
  </si>
  <si>
    <t>024-0193-19</t>
  </si>
  <si>
    <t>caroconn@iastate.edu</t>
  </si>
  <si>
    <t>013-0055-19</t>
  </si>
  <si>
    <t>msmothers10@hotmail.com</t>
  </si>
  <si>
    <t>024-0147-17</t>
  </si>
  <si>
    <t>kirkamber107@gmail.com</t>
  </si>
  <si>
    <t>014-0046-20</t>
  </si>
  <si>
    <t>zahinamusic@gmail.com</t>
  </si>
  <si>
    <t>093-0103-21</t>
  </si>
  <si>
    <t>015-0253-21</t>
  </si>
  <si>
    <t>006-0166-20</t>
  </si>
  <si>
    <t>antoinette.wittrock@pelancsd.org</t>
  </si>
  <si>
    <t>013-0087-17</t>
  </si>
  <si>
    <t>frommeltls1@gmail.com</t>
  </si>
  <si>
    <t>013-0065-19</t>
  </si>
  <si>
    <t>jayblue302302@gmail.com</t>
  </si>
  <si>
    <t>078-0028-18</t>
  </si>
  <si>
    <t>faithmariewood01@gmail.com</t>
  </si>
  <si>
    <t>026-0226-19</t>
  </si>
  <si>
    <t>jennaweber1976@gmail.com</t>
  </si>
  <si>
    <t>002-0113-20</t>
  </si>
  <si>
    <t>ieshiaholder12@gmail.com</t>
  </si>
  <si>
    <t>026-0603-18</t>
  </si>
  <si>
    <t>patnorma1950@gmail.com</t>
  </si>
  <si>
    <t>008-0371-18</t>
  </si>
  <si>
    <t>benjamin.mundt@a-pcsd.net</t>
  </si>
  <si>
    <t>001-0556-18</t>
  </si>
  <si>
    <t>malcolmyoung250@gmail.com</t>
  </si>
  <si>
    <t>026-0477-18</t>
  </si>
  <si>
    <t>navarroreyes1973@gmail.com</t>
  </si>
  <si>
    <t>003-0090-11</t>
  </si>
  <si>
    <t>numbercrunchr@gmail.com</t>
  </si>
  <si>
    <t>065-0079-15</t>
  </si>
  <si>
    <t>candringa428@outlook.com</t>
  </si>
  <si>
    <t>497-0006-20</t>
  </si>
  <si>
    <t>cole.nelson@stu.eastunionschools.org</t>
  </si>
  <si>
    <t>003-0326-21</t>
  </si>
  <si>
    <t>chitownwoman@gmail.com</t>
  </si>
  <si>
    <t>007-0161-16</t>
  </si>
  <si>
    <t>005-0115-14</t>
  </si>
  <si>
    <t>jennifer.mcgowen@ymail.com</t>
  </si>
  <si>
    <t>025-0044-21</t>
  </si>
  <si>
    <t>clarawinfrey13@gmail.com</t>
  </si>
  <si>
    <t>013-0095-20</t>
  </si>
  <si>
    <t>mavpaulson@gmail.com</t>
  </si>
  <si>
    <t>026-0037-11</t>
  </si>
  <si>
    <t>rileyclarice@gmail.com</t>
  </si>
  <si>
    <t>001-0450-19</t>
  </si>
  <si>
    <t>joelarson428@gmail.com</t>
  </si>
  <si>
    <t>571-0024-18</t>
  </si>
  <si>
    <t>011-0143-21</t>
  </si>
  <si>
    <t>chuckgilpin1974@gmail.com</t>
  </si>
  <si>
    <t>008-0026-18</t>
  </si>
  <si>
    <t>darinfauser46@gmail.com</t>
  </si>
  <si>
    <t>001-0154-14</t>
  </si>
  <si>
    <t>rshoop2014@gmail.com</t>
  </si>
  <si>
    <t>006-0028-20</t>
  </si>
  <si>
    <t>002-0071-12</t>
  </si>
  <si>
    <t>026-0054-15</t>
  </si>
  <si>
    <t>h.mccaune@gmail.com</t>
  </si>
  <si>
    <t>009-0041-15</t>
  </si>
  <si>
    <t>026-0222-18</t>
  </si>
  <si>
    <t>lukekome@mchsi.com</t>
  </si>
  <si>
    <t>009-0016-21</t>
  </si>
  <si>
    <t>jacischreier@gmail.com</t>
  </si>
  <si>
    <t>078-0028-14</t>
  </si>
  <si>
    <t>wilsonbcollin@gmail.com</t>
  </si>
  <si>
    <t>005-0040-18</t>
  </si>
  <si>
    <t>011-0100-20</t>
  </si>
  <si>
    <t>001-0207-16</t>
  </si>
  <si>
    <t>elijahtaboy@gmail.com</t>
  </si>
  <si>
    <t>024-0100-19</t>
  </si>
  <si>
    <t>485-0009-16</t>
  </si>
  <si>
    <t>lauriegrn@hotmail.com</t>
  </si>
  <si>
    <t>001-0141-21</t>
  </si>
  <si>
    <t>melanielaurier@rocketmail.com</t>
  </si>
  <si>
    <t>006-0038-20</t>
  </si>
  <si>
    <t>065-0034-21</t>
  </si>
  <si>
    <t>birkelandclarissa@gmail.com</t>
  </si>
  <si>
    <t>485-0127-08</t>
  </si>
  <si>
    <t>Patricia Robinson</t>
  </si>
  <si>
    <t>hopestar10@gmail.com</t>
  </si>
  <si>
    <t>024-0028-18</t>
  </si>
  <si>
    <t>kayprather11@gmail.com</t>
  </si>
  <si>
    <t>018-0001-15</t>
  </si>
  <si>
    <t>shelbyesnell@gmail.com</t>
  </si>
  <si>
    <t>485-0047-11</t>
  </si>
  <si>
    <t>summer_chloe202@yahoo.com</t>
  </si>
  <si>
    <t>026-0398-22</t>
  </si>
  <si>
    <t>margaretanne2@hotmail.com</t>
  </si>
  <si>
    <t>014-0430-20</t>
  </si>
  <si>
    <t>melharmsen111@gmail.com</t>
  </si>
  <si>
    <t>002-0097-12</t>
  </si>
  <si>
    <t>ms.yinyang1993@gmail.com</t>
  </si>
  <si>
    <t>332-0098-16</t>
  </si>
  <si>
    <t>ship5ley@hotmail.com</t>
  </si>
  <si>
    <t>007-0050-19</t>
  </si>
  <si>
    <t>042-0005-22</t>
  </si>
  <si>
    <t>judy@judymartin.com</t>
  </si>
  <si>
    <t>026-0134-20</t>
  </si>
  <si>
    <t>uabduresul@gmail.com</t>
  </si>
  <si>
    <t>017-0048-16</t>
  </si>
  <si>
    <t>dmcrey1@gmail.com</t>
  </si>
  <si>
    <t>014-0294-17</t>
  </si>
  <si>
    <t>alexrallen2000@gmail.com</t>
  </si>
  <si>
    <t>026-0463-19</t>
  </si>
  <si>
    <t>majed_abusharkh@hotmail.com</t>
  </si>
  <si>
    <t>026-0140-22</t>
  </si>
  <si>
    <t>006-0043-19</t>
  </si>
  <si>
    <t>007-0103-19</t>
  </si>
  <si>
    <t>21sampleli@sblschools.com</t>
  </si>
  <si>
    <t>015-0137-20</t>
  </si>
  <si>
    <t>marsspace50@gmail.com</t>
  </si>
  <si>
    <t>007-0089-20</t>
  </si>
  <si>
    <t>schlenderbryce@gmail.com</t>
  </si>
  <si>
    <t>002-0185-17</t>
  </si>
  <si>
    <t>002-0054-20</t>
  </si>
  <si>
    <t>013-0081-17</t>
  </si>
  <si>
    <t>bngassman@gmail.com</t>
  </si>
  <si>
    <t>013-0101-11</t>
  </si>
  <si>
    <t>nahlborn@hotmail.com</t>
  </si>
  <si>
    <t>042-0070-21</t>
  </si>
  <si>
    <t>fechtcrunch5@gmail.com</t>
  </si>
  <si>
    <t>001-0259-16</t>
  </si>
  <si>
    <t>demira.simmons@gmail.com</t>
  </si>
  <si>
    <t>008-0391-18</t>
  </si>
  <si>
    <t>mittietony@gmail.com</t>
  </si>
  <si>
    <t>001-0176-16</t>
  </si>
  <si>
    <t>abughunter@msn.com</t>
  </si>
  <si>
    <t>025-0019-21</t>
  </si>
  <si>
    <t>Michael Hruska</t>
  </si>
  <si>
    <t>courtpalm6988@gmail.com</t>
  </si>
  <si>
    <t>025-0048-21</t>
  </si>
  <si>
    <t>teivins@grm.net</t>
  </si>
  <si>
    <t>002-0277-18</t>
  </si>
  <si>
    <t>dhankens4358@gmail.com</t>
  </si>
  <si>
    <t>008-0231-19</t>
  </si>
  <si>
    <t>nwalvatne@iowatelecom.net</t>
  </si>
  <si>
    <t>013-0348-13</t>
  </si>
  <si>
    <t>026-0052-20</t>
  </si>
  <si>
    <t>samanthasenne2@gmail.com</t>
  </si>
  <si>
    <t>575-0003-20</t>
  </si>
  <si>
    <t>gillettekobed@gmail.com</t>
  </si>
  <si>
    <t>099-0009-21</t>
  </si>
  <si>
    <t>008-0288-19</t>
  </si>
  <si>
    <t>kianab1@wloo.org</t>
  </si>
  <si>
    <t>009-0049-21</t>
  </si>
  <si>
    <t>jacqueline.jackson1@gmail.com</t>
  </si>
  <si>
    <t>013-0026-15</t>
  </si>
  <si>
    <t>henneberrym@nicc.edu</t>
  </si>
  <si>
    <t>026-0433-19</t>
  </si>
  <si>
    <t>karimsierra08@gmail.com</t>
  </si>
  <si>
    <t>497-0016-20</t>
  </si>
  <si>
    <t>Dorene Rusk</t>
  </si>
  <si>
    <t>mirandalea08@yahoo.com</t>
  </si>
  <si>
    <t>001-0022-20</t>
  </si>
  <si>
    <t>008-0548-20</t>
  </si>
  <si>
    <t>014-0339-20</t>
  </si>
  <si>
    <t>oskarholmes@gmail.com</t>
  </si>
  <si>
    <t>014-0327-19</t>
  </si>
  <si>
    <t>015-0262-21</t>
  </si>
  <si>
    <t>stormhunter86@icloud.com</t>
  </si>
  <si>
    <t>481-0036-21</t>
  </si>
  <si>
    <t>014-0280-19</t>
  </si>
  <si>
    <t>hotchkissadam1982@gmail.com</t>
  </si>
  <si>
    <t>560-0012-19</t>
  </si>
  <si>
    <t>nicoleeckhardt@gmail.com</t>
  </si>
  <si>
    <t>002-0003-20</t>
  </si>
  <si>
    <t>001-0588-19</t>
  </si>
  <si>
    <t>sena.pratt@gmail.com</t>
  </si>
  <si>
    <t>042-0058-19</t>
  </si>
  <si>
    <t>011-0173-15</t>
  </si>
  <si>
    <t>tylerarledgebus2@gmail.com</t>
  </si>
  <si>
    <t>026-0522-19</t>
  </si>
  <si>
    <t>shantalevenn123@gmail.com</t>
  </si>
  <si>
    <t>015-0014-21</t>
  </si>
  <si>
    <t>001-0034-14</t>
  </si>
  <si>
    <t>davidmedwin1@hotmail.com</t>
  </si>
  <si>
    <t>008-0257-19</t>
  </si>
  <si>
    <t>042-0153-18</t>
  </si>
  <si>
    <t>dakotamorales1998@gmail.com</t>
  </si>
  <si>
    <t>015-0151-21</t>
  </si>
  <si>
    <t>tfunk3780@gmail.com</t>
  </si>
  <si>
    <t>014-0093-21</t>
  </si>
  <si>
    <t>015-0225-21</t>
  </si>
  <si>
    <t>ambermovick@yahoo.com</t>
  </si>
  <si>
    <t>026-0473-21</t>
  </si>
  <si>
    <t>024-0043-16</t>
  </si>
  <si>
    <t>jmsprau555@gmail.com</t>
  </si>
  <si>
    <t>008-0341-17</t>
  </si>
  <si>
    <t>cs264202@gmail.com</t>
  </si>
  <si>
    <t>007-0075-20</t>
  </si>
  <si>
    <t>lschossow@hotmail.com</t>
  </si>
  <si>
    <t>011-0076-21</t>
  </si>
  <si>
    <t>morenoadelaida570@gmail.com</t>
  </si>
  <si>
    <t>001-0419-17</t>
  </si>
  <si>
    <t>skimama@outlook.com</t>
  </si>
  <si>
    <t>013-0110-20</t>
  </si>
  <si>
    <t>aliaadrian71@gmail.com</t>
  </si>
  <si>
    <t>005-0126-21</t>
  </si>
  <si>
    <t>cindykane81@gmail.com</t>
  </si>
  <si>
    <t>014-0107-21</t>
  </si>
  <si>
    <t>shagwood123@gmail.com</t>
  </si>
  <si>
    <t>013-0069-20</t>
  </si>
  <si>
    <t>jkabelgians@hotmail.com</t>
  </si>
  <si>
    <t>014-0260-10</t>
  </si>
  <si>
    <t>kylejmcfall@gmail.com</t>
  </si>
  <si>
    <t>015-0163-21</t>
  </si>
  <si>
    <t>nicolejudge@live.com</t>
  </si>
  <si>
    <t>001-0474-06</t>
  </si>
  <si>
    <t>026-0412-19</t>
  </si>
  <si>
    <t>6003192002cc@gmail.com</t>
  </si>
  <si>
    <t>026-0493-17</t>
  </si>
  <si>
    <t>korbin.xoxo@gmail.com</t>
  </si>
  <si>
    <t>006-0332-21</t>
  </si>
  <si>
    <t>026-0557-18</t>
  </si>
  <si>
    <t>warrendsm@gmail.com</t>
  </si>
  <si>
    <t>026-0449-16</t>
  </si>
  <si>
    <t>henryracing2@msn.com</t>
  </si>
  <si>
    <t>001-0391-15</t>
  </si>
  <si>
    <t>Tbooth@fmtcs.com</t>
  </si>
  <si>
    <t>497-0004-19</t>
  </si>
  <si>
    <t>johnsonjesse049@gmail.com</t>
  </si>
  <si>
    <t>496-0026-20</t>
  </si>
  <si>
    <t>allisona244@gmail.com</t>
  </si>
  <si>
    <t>026-0015-16</t>
  </si>
  <si>
    <t>richcanderson98@gmail.com</t>
  </si>
  <si>
    <t>026-0019-21</t>
  </si>
  <si>
    <t>lyonsr0718@gmail.com</t>
  </si>
  <si>
    <t>007-0135-19</t>
  </si>
  <si>
    <t>001-0630-19</t>
  </si>
  <si>
    <t>jacobi9433@gmail.com</t>
  </si>
  <si>
    <t>013-0197-20</t>
  </si>
  <si>
    <t>renfropamela@yahoo.com</t>
  </si>
  <si>
    <t>065-0102-21</t>
  </si>
  <si>
    <t>hll1980@tcaexpress.net</t>
  </si>
  <si>
    <t>332-0127-17</t>
  </si>
  <si>
    <t>026-0009-19</t>
  </si>
  <si>
    <t>woliver502@gmail.com</t>
  </si>
  <si>
    <t>003-0202-13</t>
  </si>
  <si>
    <t>anastasiagroth7@gmail.com</t>
  </si>
  <si>
    <t>008-0052-16</t>
  </si>
  <si>
    <t>078-0089-20</t>
  </si>
  <si>
    <t>024-0148-15</t>
  </si>
  <si>
    <t>warnerabi@gmail.com</t>
  </si>
  <si>
    <t>008-0182-21</t>
  </si>
  <si>
    <t>dylanwehling02@gmail.com</t>
  </si>
  <si>
    <t>332-0015-19</t>
  </si>
  <si>
    <t>001-0300-20</t>
  </si>
  <si>
    <t>sarahchickeboc0613@gmail.com</t>
  </si>
  <si>
    <t>013-0141-19</t>
  </si>
  <si>
    <t>nronnebaum@msn.com</t>
  </si>
  <si>
    <t>013-0252-19</t>
  </si>
  <si>
    <t>011-0222-19</t>
  </si>
  <si>
    <t>sh.lafeber@gmail.com</t>
  </si>
  <si>
    <t>014-0240-19</t>
  </si>
  <si>
    <t>dante.j.yance@gmail.com</t>
  </si>
  <si>
    <t>008-0351-14</t>
  </si>
  <si>
    <t>065-0035-21</t>
  </si>
  <si>
    <t>571-0022-18</t>
  </si>
  <si>
    <t>clintbydo@gmail.com</t>
  </si>
  <si>
    <t>008-0199-15</t>
  </si>
  <si>
    <t>025-0066-19</t>
  </si>
  <si>
    <t>swinite70@yahoo.com</t>
  </si>
  <si>
    <t>008-0262-18</t>
  </si>
  <si>
    <t>tannerkeough2002@gmail.com</t>
  </si>
  <si>
    <t>001-0289-18</t>
  </si>
  <si>
    <t>mjl.bluepanther@gmail.com</t>
  </si>
  <si>
    <t>008-0041-19</t>
  </si>
  <si>
    <t>hunterpodnar@gmail.com</t>
  </si>
  <si>
    <t>495-0010-17</t>
  </si>
  <si>
    <t>brandy.luing@gmail.com</t>
  </si>
  <si>
    <t>003-0146-19</t>
  </si>
  <si>
    <t>mckayne2021@outlook.com</t>
  </si>
  <si>
    <t>011-0126-20</t>
  </si>
  <si>
    <t>011-0185-17</t>
  </si>
  <si>
    <t>kapschd67@gmail.com</t>
  </si>
  <si>
    <t>015-0261-21</t>
  </si>
  <si>
    <t>shotshellbox@yahoo.com</t>
  </si>
  <si>
    <t>575-0006-19</t>
  </si>
  <si>
    <t>patricia_galvan@icloud.com</t>
  </si>
  <si>
    <t>026-0568-18</t>
  </si>
  <si>
    <t>gindahay@gmail.com</t>
  </si>
  <si>
    <t>065-0006-19</t>
  </si>
  <si>
    <t>krhawkeyes@gmail.com</t>
  </si>
  <si>
    <t>026-0362-19</t>
  </si>
  <si>
    <t>cararivas7213@gmail.com</t>
  </si>
  <si>
    <t>013-0177-16</t>
  </si>
  <si>
    <t>meganlenstra@gmail.com</t>
  </si>
  <si>
    <t>024-0105-15</t>
  </si>
  <si>
    <t>stheile1969@gmail.com</t>
  </si>
  <si>
    <t>006-0358-21</t>
  </si>
  <si>
    <t>cbtrvspark@aol.com</t>
  </si>
  <si>
    <t>002-0060-16</t>
  </si>
  <si>
    <t>amicableglo@aol.com</t>
  </si>
  <si>
    <t>011-0248-18</t>
  </si>
  <si>
    <t>Ashley Banes</t>
  </si>
  <si>
    <t>michaelcain6677@yahoo.com</t>
  </si>
  <si>
    <t>011-0147-17</t>
  </si>
  <si>
    <t>099-0047-21</t>
  </si>
  <si>
    <t>jeffklatt@hotmail.com</t>
  </si>
  <si>
    <t>011-0197-18</t>
  </si>
  <si>
    <t>nateowallaceoo@gmail.com</t>
  </si>
  <si>
    <t>026-0231-16</t>
  </si>
  <si>
    <t>014-0417-20</t>
  </si>
  <si>
    <t>amdunbar3@gmail.com</t>
  </si>
  <si>
    <t>026-0458-21</t>
  </si>
  <si>
    <t>wandersen0303@hotmail.com</t>
  </si>
  <si>
    <t>008-0084-19</t>
  </si>
  <si>
    <t>485-0136-19</t>
  </si>
  <si>
    <t>wsam77734@gmail.com</t>
  </si>
  <si>
    <t>005-0027-19</t>
  </si>
  <si>
    <t>buhrjuliana48@gmail.com</t>
  </si>
  <si>
    <t>011-0013-17</t>
  </si>
  <si>
    <t>013-0110-18</t>
  </si>
  <si>
    <t>griffinoliver18895@yahoo.com</t>
  </si>
  <si>
    <t>007-0018-20</t>
  </si>
  <si>
    <t>devine2k@aol.com</t>
  </si>
  <si>
    <t>009-0020-21</t>
  </si>
  <si>
    <t>dhansford2024@spencerschools.org</t>
  </si>
  <si>
    <t>011-0242-19</t>
  </si>
  <si>
    <t>odieurcrzy@outlook.com</t>
  </si>
  <si>
    <t>026-0252-20</t>
  </si>
  <si>
    <t>danniesdad99@gmail.com</t>
  </si>
  <si>
    <t>026-0036-20</t>
  </si>
  <si>
    <t>susiesmith77SS@gmail.com</t>
  </si>
  <si>
    <t>008-0260-19</t>
  </si>
  <si>
    <t>randall_paul0123@yahoo.com</t>
  </si>
  <si>
    <t>015-0320-20</t>
  </si>
  <si>
    <t>chagema8@gmail.com</t>
  </si>
  <si>
    <t>001-0108-17</t>
  </si>
  <si>
    <t>kilrchar@gmail.com</t>
  </si>
  <si>
    <t>026-0136-19</t>
  </si>
  <si>
    <t>artubbs5@gmail.com</t>
  </si>
  <si>
    <t>006-0249-20</t>
  </si>
  <si>
    <t>007-0147-16</t>
  </si>
  <si>
    <t>065-0031-21</t>
  </si>
  <si>
    <t>daniel.sfc18@gmail.com</t>
  </si>
  <si>
    <t>092-0019-19</t>
  </si>
  <si>
    <t>ananomouse@hotmail.com</t>
  </si>
  <si>
    <t>014-0111-19</t>
  </si>
  <si>
    <t>008-0575-20</t>
  </si>
  <si>
    <t>nicholleharper@gmail.com</t>
  </si>
  <si>
    <t>013-0044-19</t>
  </si>
  <si>
    <t>tweetinpink307@gmail.com</t>
  </si>
  <si>
    <t>009-0036-19</t>
  </si>
  <si>
    <t>danielsutherlandross@gmail.com</t>
  </si>
  <si>
    <t>008-0550-20</t>
  </si>
  <si>
    <t>m.vanarsdale2015@gmail.com</t>
  </si>
  <si>
    <t>013-0012-15</t>
  </si>
  <si>
    <t>johncolin1@hotmail.com</t>
  </si>
  <si>
    <t>001-0209-11</t>
  </si>
  <si>
    <t>autspiedrough@iname.com</t>
  </si>
  <si>
    <t>099-0019-17</t>
  </si>
  <si>
    <t>007-0072-20</t>
  </si>
  <si>
    <t>tonygiorgenti@aol.com</t>
  </si>
  <si>
    <t>497-0020-20</t>
  </si>
  <si>
    <t>naumanmerrill@yahoo.com</t>
  </si>
  <si>
    <t>003-0161-19</t>
  </si>
  <si>
    <t>annacondon830@gmail.com</t>
  </si>
  <si>
    <t>006-0151-20</t>
  </si>
  <si>
    <t>claydhughes@gmail.com</t>
  </si>
  <si>
    <t>013-0169-20</t>
  </si>
  <si>
    <t>092-0029-20</t>
  </si>
  <si>
    <t>007-0056-18</t>
  </si>
  <si>
    <t>mercedeslaureano4@gmail.com</t>
  </si>
  <si>
    <t>026-0325-15</t>
  </si>
  <si>
    <t>emilyjensen678@gmail.com</t>
  </si>
  <si>
    <t>007-0214-19</t>
  </si>
  <si>
    <t>rendersa@goodwillgreatplains.org</t>
  </si>
  <si>
    <t>093-0030-18</t>
  </si>
  <si>
    <t>chadeastman33@gmail.com</t>
  </si>
  <si>
    <t>006-0111-17</t>
  </si>
  <si>
    <t>jaylin10jc@gmail.com</t>
  </si>
  <si>
    <t>024-0159-18</t>
  </si>
  <si>
    <t>thenaturalfeeder@gmail.com</t>
  </si>
  <si>
    <t>026-0485-17</t>
  </si>
  <si>
    <t>002-0140-15</t>
  </si>
  <si>
    <t>alisonmcginn@yahoo.com</t>
  </si>
  <si>
    <t>574-0045-11</t>
  </si>
  <si>
    <t>nuzumcl@gmail.com</t>
  </si>
  <si>
    <t>015-0032-20</t>
  </si>
  <si>
    <t>sariah.richardson123@gmail.com</t>
  </si>
  <si>
    <t>002-0093-19</t>
  </si>
  <si>
    <t>alexflint1973@gmail.com</t>
  </si>
  <si>
    <t>026-0245-20</t>
  </si>
  <si>
    <t>samiggy8@gmail.com</t>
  </si>
  <si>
    <t>011-0016-15</t>
  </si>
  <si>
    <t>kaszaragoza@gmail.com</t>
  </si>
  <si>
    <t>008-0282-19</t>
  </si>
  <si>
    <t>zsjprince2004@yahoo.com</t>
  </si>
  <si>
    <t>007-0288-17</t>
  </si>
  <si>
    <t>alvondrak@hotmail.com</t>
  </si>
  <si>
    <t>078-0026-20</t>
  </si>
  <si>
    <t>006-0139-16</t>
  </si>
  <si>
    <t>worralljordan97@gmail.com</t>
  </si>
  <si>
    <t>008-0280-21</t>
  </si>
  <si>
    <t>013-0132-17</t>
  </si>
  <si>
    <t>michael_payne89@hotmail.com</t>
  </si>
  <si>
    <t>014-0351-18</t>
  </si>
  <si>
    <t>jim@harvestlawfirm.com</t>
  </si>
  <si>
    <t>026-0669-18</t>
  </si>
  <si>
    <t>ppethe@gmail.com</t>
  </si>
  <si>
    <t>007-0046-20</t>
  </si>
  <si>
    <t>polkcha@wcwildcats.org</t>
  </si>
  <si>
    <t>002-0156-17</t>
  </si>
  <si>
    <t>078-0025-20</t>
  </si>
  <si>
    <t>026-0537-21</t>
  </si>
  <si>
    <t>billbaldwin582@gmail.com</t>
  </si>
  <si>
    <t>007-0371-20</t>
  </si>
  <si>
    <t>rjefferies5744@gmail.com</t>
  </si>
  <si>
    <t>014-0115-16</t>
  </si>
  <si>
    <t>danaelizjen@me.com</t>
  </si>
  <si>
    <t>001-0542-18</t>
  </si>
  <si>
    <t>015-0200-21</t>
  </si>
  <si>
    <t>inman81@gmail.com</t>
  </si>
  <si>
    <t>011-0181-21</t>
  </si>
  <si>
    <t>twobusy2@yahoo.com</t>
  </si>
  <si>
    <t>485-0075-15</t>
  </si>
  <si>
    <t>cassbj10@yahoo.com</t>
  </si>
  <si>
    <t>078-0078-15</t>
  </si>
  <si>
    <t>macyowen.8@gmail.com</t>
  </si>
  <si>
    <t>078-0030-19</t>
  </si>
  <si>
    <t>wiskus96@gmail.com</t>
  </si>
  <si>
    <t>007-0058-19</t>
  </si>
  <si>
    <t>momofbooman@yahoo.com</t>
  </si>
  <si>
    <t>006-0384-20</t>
  </si>
  <si>
    <t>daryan.l.cheely@gmail.com</t>
  </si>
  <si>
    <t>024-0037-19</t>
  </si>
  <si>
    <t>sobiala96@gmail.com</t>
  </si>
  <si>
    <t>011-0113-15</t>
  </si>
  <si>
    <t>corissawilliams028@gmail.com</t>
  </si>
  <si>
    <t>001-0050-13</t>
  </si>
  <si>
    <t>sam8195@icloud.com</t>
  </si>
  <si>
    <t>009-0093-21</t>
  </si>
  <si>
    <t>juliekinsley@gmail.com</t>
  </si>
  <si>
    <t>026-0085-21</t>
  </si>
  <si>
    <t>davis.Whisler@gmail.com</t>
  </si>
  <si>
    <t>026-0233-17</t>
  </si>
  <si>
    <t>koester162@gmail.com</t>
  </si>
  <si>
    <t>007-0111-20</t>
  </si>
  <si>
    <t>johnsontony392@gmail.com</t>
  </si>
  <si>
    <t>007-0046-21</t>
  </si>
  <si>
    <t>007-0177-19</t>
  </si>
  <si>
    <t>beetleass@hotmail.com</t>
  </si>
  <si>
    <t>008-0166-18</t>
  </si>
  <si>
    <t>zdickens20@wsr.k12.ia.us</t>
  </si>
  <si>
    <t>026-0123-20</t>
  </si>
  <si>
    <t>nicholle3838@gmail.com</t>
  </si>
  <si>
    <t>008-0100-18</t>
  </si>
  <si>
    <t>haroldjackson@mediacombb.net</t>
  </si>
  <si>
    <t>026-0584-19</t>
  </si>
  <si>
    <t>dondderry@gmail.com</t>
  </si>
  <si>
    <t>014-0025-20</t>
  </si>
  <si>
    <t>keayon87@gmail.com</t>
  </si>
  <si>
    <t>008-0212-21</t>
  </si>
  <si>
    <t>tasmith618@gmail.com</t>
  </si>
  <si>
    <t>007-0160-17</t>
  </si>
  <si>
    <t>bnjmnbr32@aol.com</t>
  </si>
  <si>
    <t>099-0054-21</t>
  </si>
  <si>
    <t>008-0379-18</t>
  </si>
  <si>
    <t>078-0051-19</t>
  </si>
  <si>
    <t>026-0081-19</t>
  </si>
  <si>
    <t>coachharris11@yahoo.com</t>
  </si>
  <si>
    <t>026-0104-20</t>
  </si>
  <si>
    <t>mail.coltondavis@gmail.com</t>
  </si>
  <si>
    <t>001-0700-21</t>
  </si>
  <si>
    <t>aknight1260@gmail.com</t>
  </si>
  <si>
    <t>008-0105-22</t>
  </si>
  <si>
    <t>JasonBoge@hotmail.com</t>
  </si>
  <si>
    <t>065-0072-15</t>
  </si>
  <si>
    <t>001-0202-20</t>
  </si>
  <si>
    <t>michaelbrandt2_631@msn.com</t>
  </si>
  <si>
    <t>014-0001-21</t>
  </si>
  <si>
    <t>026-0418-18</t>
  </si>
  <si>
    <t>cstyler1558@gmail.com</t>
  </si>
  <si>
    <t>007-0061-20</t>
  </si>
  <si>
    <t>llegree89@gmail.com</t>
  </si>
  <si>
    <t>013-0293-18</t>
  </si>
  <si>
    <t>leuchtenmacherderek@gmail.com</t>
  </si>
  <si>
    <t>093-0050-19</t>
  </si>
  <si>
    <t>tdh42501@gmail.com</t>
  </si>
  <si>
    <t>002-0106-18</t>
  </si>
  <si>
    <t>jahaha3@cox.net</t>
  </si>
  <si>
    <t>006-0080-19</t>
  </si>
  <si>
    <t>janbay224@gmail.com</t>
  </si>
  <si>
    <t>026-0833-20</t>
  </si>
  <si>
    <t>jaredbrown2021@gmail.com</t>
  </si>
  <si>
    <t>026-0234-15</t>
  </si>
  <si>
    <t>asiannab96@gmail.com</t>
  </si>
  <si>
    <t>001-0164-16</t>
  </si>
  <si>
    <t>kinseyrenae@gmail.com</t>
  </si>
  <si>
    <t>009-0057-21</t>
  </si>
  <si>
    <t>001-0028-17</t>
  </si>
  <si>
    <t>332-0021-11</t>
  </si>
  <si>
    <t>lauren_smalley@yahoo.com</t>
  </si>
  <si>
    <t>013-0224-19</t>
  </si>
  <si>
    <t>mothercarlson2017@gmail.com</t>
  </si>
  <si>
    <t>026-0093-21</t>
  </si>
  <si>
    <t>therickson2@gmail.com</t>
  </si>
  <si>
    <t>013-0271-17</t>
  </si>
  <si>
    <t>013-0385-20</t>
  </si>
  <si>
    <t>heytmanshollowhomestead@gmail.com</t>
  </si>
  <si>
    <t>011-0244-19</t>
  </si>
  <si>
    <t>shirmainestrada@gmail.com</t>
  </si>
  <si>
    <t>065-0001-17</t>
  </si>
  <si>
    <t>014-0043-21</t>
  </si>
  <si>
    <t>meganirwin50@gmail.com</t>
  </si>
  <si>
    <t>026-0141-16</t>
  </si>
  <si>
    <t>noahb09@gmail.com</t>
  </si>
  <si>
    <t>481-0021-19</t>
  </si>
  <si>
    <t>froggy1015@yahoo.com</t>
  </si>
  <si>
    <t>014-0423-20</t>
  </si>
  <si>
    <t>willrothjason3@gmail.com</t>
  </si>
  <si>
    <t>002-0075-18</t>
  </si>
  <si>
    <t>002-0318-20</t>
  </si>
  <si>
    <t>dustinputnam1993@gmail.com</t>
  </si>
  <si>
    <t>011-0290-20</t>
  </si>
  <si>
    <t>008-0334-15</t>
  </si>
  <si>
    <t>arpope10@gmail.com</t>
  </si>
  <si>
    <t>009-0070-21</t>
  </si>
  <si>
    <t>026-0176-19</t>
  </si>
  <si>
    <t>luisnabor140644@gmail.com</t>
  </si>
  <si>
    <t>014-0075-21</t>
  </si>
  <si>
    <t>colinmougin@gmail.com</t>
  </si>
  <si>
    <t>001-0648-20</t>
  </si>
  <si>
    <t>alimoore211@gmail.com</t>
  </si>
  <si>
    <t>013-0430-19</t>
  </si>
  <si>
    <t>adrapeau17@gmail.com</t>
  </si>
  <si>
    <t>008-0195-15</t>
  </si>
  <si>
    <t>josiejacobs13@yahoo.com</t>
  </si>
  <si>
    <t>001-0596-20</t>
  </si>
  <si>
    <t>lena0836@yahoo.com</t>
  </si>
  <si>
    <t>001-0372-17</t>
  </si>
  <si>
    <t>office@mcm-proservices.com</t>
  </si>
  <si>
    <t>013-0044-20</t>
  </si>
  <si>
    <t>065-0018-21</t>
  </si>
  <si>
    <t>dalegroen3@gmail.com</t>
  </si>
  <si>
    <t>001-0079-18</t>
  </si>
  <si>
    <t>crumesse@gmail.com</t>
  </si>
  <si>
    <t>002-0161-17</t>
  </si>
  <si>
    <t>008-0263-18</t>
  </si>
  <si>
    <t>hallerat21@gmail.com</t>
  </si>
  <si>
    <t>I</t>
  </si>
  <si>
    <t>Not really an issue for consumers with successful placements.  But those without a placement is 1 in 4.</t>
  </si>
  <si>
    <t>Not really an issue for consumers with successful placements.  But, those without a placement is over 1 in 4.</t>
  </si>
  <si>
    <t>001-0482-21</t>
  </si>
  <si>
    <t>pegdonohoe@gmail.com</t>
  </si>
  <si>
    <t>006-0143-20</t>
  </si>
  <si>
    <t>008-0185-20</t>
  </si>
  <si>
    <t>Deere115@gmail.com</t>
  </si>
  <si>
    <t>026-0714-21</t>
  </si>
  <si>
    <t>CJuilfs@holmesmurphy.com</t>
  </si>
  <si>
    <t>571-0002-21</t>
  </si>
  <si>
    <t>ss.jade@hotmail.com</t>
  </si>
  <si>
    <t>007-0013-14</t>
  </si>
  <si>
    <t>alexis.wingett@witcc.edu</t>
  </si>
  <si>
    <t>008-0409-21</t>
  </si>
  <si>
    <t>durius91davis@icloud.com</t>
  </si>
  <si>
    <t>011-0114-21</t>
  </si>
  <si>
    <t>jewel.lmill97@yahoo.com</t>
  </si>
  <si>
    <t>014-0326-19</t>
  </si>
  <si>
    <t>026-0329-21</t>
  </si>
  <si>
    <t>tundra123@gmail.com</t>
  </si>
  <si>
    <t>002-0175-19</t>
  </si>
  <si>
    <t>jasongorden08@gmail.com</t>
  </si>
  <si>
    <t>014-0150-20</t>
  </si>
  <si>
    <t>joseph.whisler@gmail.com</t>
  </si>
  <si>
    <t>007-0017-20</t>
  </si>
  <si>
    <t>026-0162-20</t>
  </si>
  <si>
    <t>caleb.n.renes@gmail.com</t>
  </si>
  <si>
    <t>001-0084-19</t>
  </si>
  <si>
    <t>eriksnyder23@gmail.com</t>
  </si>
  <si>
    <t>001-0424-18</t>
  </si>
  <si>
    <t>jgaldape@gmail.com</t>
  </si>
  <si>
    <t>485-0072-17</t>
  </si>
  <si>
    <t>metcheljoyse@gmail.com</t>
  </si>
  <si>
    <t>026-0460-19</t>
  </si>
  <si>
    <t>taylor.ewing1314@gmail.com</t>
  </si>
  <si>
    <t>002-0079-21</t>
  </si>
  <si>
    <t>Amy Mcneese</t>
  </si>
  <si>
    <t>trevorgbessey@gmail.com</t>
  </si>
  <si>
    <t>001-0140-18</t>
  </si>
  <si>
    <t>18lcarlisle@gmail.com</t>
  </si>
  <si>
    <t>007-0097-18</t>
  </si>
  <si>
    <t>026-0608-19</t>
  </si>
  <si>
    <t>026-0304-21</t>
  </si>
  <si>
    <t>Constance Haigh</t>
  </si>
  <si>
    <t>fordtj3@gmail.com</t>
  </si>
  <si>
    <t>014-0074-21</t>
  </si>
  <si>
    <t>jamesrgorsh@msn.com</t>
  </si>
  <si>
    <t>013-0162-21</t>
  </si>
  <si>
    <t>brittanyblake@aol.com</t>
  </si>
  <si>
    <t>001-0053-14</t>
  </si>
  <si>
    <t>ashley.t.ulrich@gmail.com</t>
  </si>
  <si>
    <t>014-0233-19</t>
  </si>
  <si>
    <t>ellzbeth617@gmail.com</t>
  </si>
  <si>
    <t>093-0131-18</t>
  </si>
  <si>
    <t>Kara Boldt</t>
  </si>
  <si>
    <t>brolfe41@gmail.com</t>
  </si>
  <si>
    <t>026-0394-20</t>
  </si>
  <si>
    <t>001-0017-15</t>
  </si>
  <si>
    <t>ddlsather@aol.com</t>
  </si>
  <si>
    <t>008-0268-20</t>
  </si>
  <si>
    <t>adelmunda@gmail.com</t>
  </si>
  <si>
    <t>008-0454-18</t>
  </si>
  <si>
    <t>tktorson@rocketmail.com</t>
  </si>
  <si>
    <t>093-0047-17</t>
  </si>
  <si>
    <t>jadabushman56@gmail.com</t>
  </si>
  <si>
    <t>026-0556-17</t>
  </si>
  <si>
    <t>noahwubben325@gmail.com</t>
  </si>
  <si>
    <t>013-0148-19</t>
  </si>
  <si>
    <t>042-0016-22</t>
  </si>
  <si>
    <t>cubby141@yahoo.com</t>
  </si>
  <si>
    <t>002-0044-20</t>
  </si>
  <si>
    <t>teprellewright@gmail.com</t>
  </si>
  <si>
    <t>008-0405-18</t>
  </si>
  <si>
    <t>TashaC2019@gmail.com</t>
  </si>
  <si>
    <t>014-0377-20</t>
  </si>
  <si>
    <t>026-0772-20</t>
  </si>
  <si>
    <t>hanselman.matthew@gmail.com</t>
  </si>
  <si>
    <t>001-0002-19</t>
  </si>
  <si>
    <t>mcassandra47@gmail.com</t>
  </si>
  <si>
    <t>009-0069-20</t>
  </si>
  <si>
    <t>001-0249-16</t>
  </si>
  <si>
    <t>sp.mp.tp2019@gmail.com</t>
  </si>
  <si>
    <t>008-0483-21</t>
  </si>
  <si>
    <t>Lizr2798@gmail.com</t>
  </si>
  <si>
    <t>009-0018-22</t>
  </si>
  <si>
    <t>roxieanne60@gmail.com</t>
  </si>
  <si>
    <t>008-0386-19</t>
  </si>
  <si>
    <t>dawnb4874@gmail.com</t>
  </si>
  <si>
    <t>497-0052-18</t>
  </si>
  <si>
    <t>hidielemon1@gmail.com</t>
  </si>
  <si>
    <t>002-0102-16</t>
  </si>
  <si>
    <t>Christopher Kelly</t>
  </si>
  <si>
    <t>008-0142-19</t>
  </si>
  <si>
    <t>001-0419-19</t>
  </si>
  <si>
    <t>willygreen2002@gmail.com</t>
  </si>
  <si>
    <t>002-0151-18</t>
  </si>
  <si>
    <t>meghanbrunow@icloud.com</t>
  </si>
  <si>
    <t>007-0257-17</t>
  </si>
  <si>
    <t>rgengler@siouxlan.net</t>
  </si>
  <si>
    <t>014-0175-21</t>
  </si>
  <si>
    <t>marytnurse@gmail.com</t>
  </si>
  <si>
    <t>001-0206-20</t>
  </si>
  <si>
    <t>mahoganygist@yahoo.com</t>
  </si>
  <si>
    <t>013-0064-18</t>
  </si>
  <si>
    <t>nathan02bishop@gmail.com</t>
  </si>
  <si>
    <t>025-0076-19</t>
  </si>
  <si>
    <t>brianasrk.1994@gmail.com</t>
  </si>
  <si>
    <t>005-0010-19</t>
  </si>
  <si>
    <t>sitterleru@gmail.com</t>
  </si>
  <si>
    <t>005-0149-18</t>
  </si>
  <si>
    <t>013-0265-17</t>
  </si>
  <si>
    <t>maceybarnhart@gmail.com</t>
  </si>
  <si>
    <t>001-0146-18</t>
  </si>
  <si>
    <t>zaptarjory@yahoo.com</t>
  </si>
  <si>
    <t>078-0012-14</t>
  </si>
  <si>
    <t>RomanStuhr.94@icloud.com</t>
  </si>
  <si>
    <t>007-0090-17</t>
  </si>
  <si>
    <t>ttsmagic@hotmail.com</t>
  </si>
  <si>
    <t>013-0151-13</t>
  </si>
  <si>
    <t>Andrew1995Jones@gmail.com</t>
  </si>
  <si>
    <t>024-0188-20</t>
  </si>
  <si>
    <t>jamiewhite826@gmail.com</t>
  </si>
  <si>
    <t>092-0028-16</t>
  </si>
  <si>
    <t>008-0313-19</t>
  </si>
  <si>
    <t>jdmoreland23@gmail.com</t>
  </si>
  <si>
    <t>078-0009-18</t>
  </si>
  <si>
    <t>065-0028-18</t>
  </si>
  <si>
    <t>024-0084-20</t>
  </si>
  <si>
    <t>tsavom13@gmail.com</t>
  </si>
  <si>
    <t>013-0050-20</t>
  </si>
  <si>
    <t>lcooper0116@gmail.com</t>
  </si>
  <si>
    <t>011-0271-17</t>
  </si>
  <si>
    <t>562-0001-18</t>
  </si>
  <si>
    <t>kacey_jones99@aol.com</t>
  </si>
  <si>
    <t>026-0044-19</t>
  </si>
  <si>
    <t>alsnyderssg@gmail.com</t>
  </si>
  <si>
    <t>485-0012-20</t>
  </si>
  <si>
    <t>roxannec86@yahoo.com</t>
  </si>
  <si>
    <t>011-0237-19</t>
  </si>
  <si>
    <t>015-0174-20</t>
  </si>
  <si>
    <t>006-0014-20</t>
  </si>
  <si>
    <t>kristid1969@icloud.com</t>
  </si>
  <si>
    <t>009-0015-13</t>
  </si>
  <si>
    <t>bolyardbrad@yahoo.com</t>
  </si>
  <si>
    <t>007-0192-17</t>
  </si>
  <si>
    <t>013-0022-20</t>
  </si>
  <si>
    <t>014-0260-18</t>
  </si>
  <si>
    <t>seybian15@icloud.com</t>
  </si>
  <si>
    <t>014-0324-21</t>
  </si>
  <si>
    <t>sethiemagoo@gmail.com</t>
  </si>
  <si>
    <t>003-0144-21</t>
  </si>
  <si>
    <t>D1559Harris@gmail.com</t>
  </si>
  <si>
    <t>013-0122-19</t>
  </si>
  <si>
    <t>lucas-johnson3@student.kirkwood.edu</t>
  </si>
  <si>
    <t>001-0549-18</t>
  </si>
  <si>
    <t>zionddillard@gmail.com</t>
  </si>
  <si>
    <t>026-0525-19</t>
  </si>
  <si>
    <t>mjhigens@gmail.com</t>
  </si>
  <si>
    <t>006-0083-21</t>
  </si>
  <si>
    <t>rs2uph@gmail.com</t>
  </si>
  <si>
    <t>015-0047-20</t>
  </si>
  <si>
    <t>amandagkershner@gmail.com</t>
  </si>
  <si>
    <t>026-0523-21</t>
  </si>
  <si>
    <t>old-pooch@msn.com</t>
  </si>
  <si>
    <t>065-0038-21</t>
  </si>
  <si>
    <t>joebarrow527@gmail.com</t>
  </si>
  <si>
    <t>002-0023-21</t>
  </si>
  <si>
    <t>015-0207-21</t>
  </si>
  <si>
    <t>helmersmark5@gmail.com</t>
  </si>
  <si>
    <t>005-0173-20</t>
  </si>
  <si>
    <t>065-0079-18</t>
  </si>
  <si>
    <t>kerriandlee@yahoo.com</t>
  </si>
  <si>
    <t>026-0843-20</t>
  </si>
  <si>
    <t>kurtbowermaster@gmail.com</t>
  </si>
  <si>
    <t>011-0164-15</t>
  </si>
  <si>
    <t>tytaylor2011@hotmail.com</t>
  </si>
  <si>
    <t>001-0111-18</t>
  </si>
  <si>
    <t>ryanjansa11@gmail.com</t>
  </si>
  <si>
    <t>015-0008-19</t>
  </si>
  <si>
    <t>kph2233@gmail.com</t>
  </si>
  <si>
    <t>007-0209-17</t>
  </si>
  <si>
    <t>dougconover40@gmail.com</t>
  </si>
  <si>
    <t>001-0522-19</t>
  </si>
  <si>
    <t>sahartogh@gmail.com</t>
  </si>
  <si>
    <t>026-0595-21</t>
  </si>
  <si>
    <t>Nodsledavid8@gmail.com</t>
  </si>
  <si>
    <t>485-0048-18</t>
  </si>
  <si>
    <t>dylanb29@hotmail.com</t>
  </si>
  <si>
    <t>024-0063-19</t>
  </si>
  <si>
    <t>pearlforest17@gmail.com</t>
  </si>
  <si>
    <t>015-0177-21</t>
  </si>
  <si>
    <t>cblaser@wgo.net</t>
  </si>
  <si>
    <t>003-0066-21</t>
  </si>
  <si>
    <t>DFox4880@icloud.com</t>
  </si>
  <si>
    <t>003-0130-18</t>
  </si>
  <si>
    <t>kenzielieferman17@gmail.com</t>
  </si>
  <si>
    <t>026-0236-21</t>
  </si>
  <si>
    <t>C_ukabiala@msn.com</t>
  </si>
  <si>
    <t>008-0178-16</t>
  </si>
  <si>
    <t>001-0526-19</t>
  </si>
  <si>
    <t>026-0481-21</t>
  </si>
  <si>
    <t>bkillen81x@gmail.com</t>
  </si>
  <si>
    <t>001-0171-21</t>
  </si>
  <si>
    <t>nebschmidt300@gmail.com</t>
  </si>
  <si>
    <t>485-0072-19</t>
  </si>
  <si>
    <t>chalette@msn.com</t>
  </si>
  <si>
    <t>015-0153-20</t>
  </si>
  <si>
    <t>093-0005-20</t>
  </si>
  <si>
    <t>kuhnj2@nicc.edu</t>
  </si>
  <si>
    <t>026-0175-15</t>
  </si>
  <si>
    <t>ajallen1992@yahoo.com</t>
  </si>
  <si>
    <t>024-0116-19</t>
  </si>
  <si>
    <t>kaylawengert20@gmail.com</t>
  </si>
  <si>
    <t>013-0160-17</t>
  </si>
  <si>
    <t>downfallbroderick@gmail.com</t>
  </si>
  <si>
    <t>014-0188-21</t>
  </si>
  <si>
    <t>chrisjpetsche@gmail.com</t>
  </si>
  <si>
    <t>001-0531-18</t>
  </si>
  <si>
    <t>devonc627@gmail.com</t>
  </si>
  <si>
    <t>025-0097-17</t>
  </si>
  <si>
    <t>sandyscadden@yahoo.com</t>
  </si>
  <si>
    <t>026-0101-19</t>
  </si>
  <si>
    <t>026-0431-17</t>
  </si>
  <si>
    <t>cartersp930@gmail.com</t>
  </si>
  <si>
    <t>078-0027-21</t>
  </si>
  <si>
    <t>013-0193-20</t>
  </si>
  <si>
    <t>amy.lorengaul@yahoo.com</t>
  </si>
  <si>
    <t>026-0147-21</t>
  </si>
  <si>
    <t>Muharrum83@gmail.com</t>
  </si>
  <si>
    <t>013-0506-19</t>
  </si>
  <si>
    <t>sethpergande95@gmail.com</t>
  </si>
  <si>
    <t>008-0238-19</t>
  </si>
  <si>
    <t>014-0142-21</t>
  </si>
  <si>
    <t>Monica Brockway</t>
  </si>
  <si>
    <t>teftfrancisco@gmail.com</t>
  </si>
  <si>
    <t>024-0057-21</t>
  </si>
  <si>
    <t>avherzberg21@gmail.com</t>
  </si>
  <si>
    <t>006-0354-21</t>
  </si>
  <si>
    <t>007-0055-21</t>
  </si>
  <si>
    <t>fifermanalex@gmail.com</t>
  </si>
  <si>
    <t>092-0021-20</t>
  </si>
  <si>
    <t>tjhandwork@gmail.com</t>
  </si>
  <si>
    <t>093-0015-22</t>
  </si>
  <si>
    <t>bdubs98duramax@gmail.com</t>
  </si>
  <si>
    <t>026-0329-16</t>
  </si>
  <si>
    <t>erin.a.hughes@gmail.com</t>
  </si>
  <si>
    <t>024-0041-18</t>
  </si>
  <si>
    <t>pudgy00@yahoo.com</t>
  </si>
  <si>
    <t>011-0373-18</t>
  </si>
  <si>
    <t>alysteward79@gmail.com</t>
  </si>
  <si>
    <t>026-0104-17</t>
  </si>
  <si>
    <t>rmuhs@thehomestead.org</t>
  </si>
  <si>
    <t>014-0269-18</t>
  </si>
  <si>
    <t>hm78jar@gmail.com</t>
  </si>
  <si>
    <t>006-0153-17</t>
  </si>
  <si>
    <t>014-0213-20</t>
  </si>
  <si>
    <t>ruthwb@gmail.com</t>
  </si>
  <si>
    <t>001-0201-20</t>
  </si>
  <si>
    <t>jenniferwrae@hotmail.com</t>
  </si>
  <si>
    <t>001-0383-17</t>
  </si>
  <si>
    <t>kaijugojirra@gmail.com</t>
  </si>
  <si>
    <t>014-0151-20</t>
  </si>
  <si>
    <t>gabby.castillomayorga@yahoo.com</t>
  </si>
  <si>
    <t>015-0396-17</t>
  </si>
  <si>
    <t>ritchiestaxi@aol.com</t>
  </si>
  <si>
    <t>025-0072-19</t>
  </si>
  <si>
    <t>scoulth@yahoo.com</t>
  </si>
  <si>
    <t>001-0237-16</t>
  </si>
  <si>
    <t>dps_coberly@yahoo.com</t>
  </si>
  <si>
    <t>013-0092-18</t>
  </si>
  <si>
    <t>blakescape76@gmail.com</t>
  </si>
  <si>
    <t>005-0045-20</t>
  </si>
  <si>
    <t>erbbethany@gmail.com</t>
  </si>
  <si>
    <t>065-0017-17</t>
  </si>
  <si>
    <t>015-0076-15</t>
  </si>
  <si>
    <t>daviddong676@gmail.com</t>
  </si>
  <si>
    <t>497-0025-17</t>
  </si>
  <si>
    <t>Mooretonya99@yahoo.com</t>
  </si>
  <si>
    <t>026-0534-21</t>
  </si>
  <si>
    <t>filipinomc72@gmail.com</t>
  </si>
  <si>
    <t>014-0176-18</t>
  </si>
  <si>
    <t>015-0156-20</t>
  </si>
  <si>
    <t>bolie.brittany@gmail.com</t>
  </si>
  <si>
    <t>332-0088-21</t>
  </si>
  <si>
    <t>lorietanner34@gmail.com</t>
  </si>
  <si>
    <t>026-0394-21</t>
  </si>
  <si>
    <t>capricorn2221@aol.com</t>
  </si>
  <si>
    <t>026-0463-14</t>
  </si>
  <si>
    <t>hcscompservice03@yahoo.com</t>
  </si>
  <si>
    <t>007-0236-21</t>
  </si>
  <si>
    <t>capersjonesmadison@gmail.com</t>
  </si>
  <si>
    <t>014-0194-20</t>
  </si>
  <si>
    <t>emra.musted@gmail.com</t>
  </si>
  <si>
    <t>007-0144-18</t>
  </si>
  <si>
    <t>samuel.vaught@hintonschool.com</t>
  </si>
  <si>
    <t>013-0190-18</t>
  </si>
  <si>
    <t>marissadenise126295@gmail.com</t>
  </si>
  <si>
    <t>007-0127-18</t>
  </si>
  <si>
    <t>014-0184-14</t>
  </si>
  <si>
    <t>michaelanthonyjames22@gmail.com</t>
  </si>
  <si>
    <t>005-0129-18</t>
  </si>
  <si>
    <t>derrig@frontiernet.net</t>
  </si>
  <si>
    <t>013-0266-19</t>
  </si>
  <si>
    <t>willowkb@gmail.com</t>
  </si>
  <si>
    <t>007-0066-17</t>
  </si>
  <si>
    <t>065-0078-18</t>
  </si>
  <si>
    <t>024-0095-17</t>
  </si>
  <si>
    <t>nhadaway1998@hotmail.com</t>
  </si>
  <si>
    <t>026-0258-18</t>
  </si>
  <si>
    <t>Bethany Flanders</t>
  </si>
  <si>
    <t>georgeanthan@gmail.com</t>
  </si>
  <si>
    <t>008-0230-19</t>
  </si>
  <si>
    <t>abbynelson3320@gmail.com</t>
  </si>
  <si>
    <t>481-0071-18</t>
  </si>
  <si>
    <t>026-0160-16</t>
  </si>
  <si>
    <t>clairekent246@gmail.com</t>
  </si>
  <si>
    <t>005-0043-20</t>
  </si>
  <si>
    <t>jeremdogg69@gmail.com</t>
  </si>
  <si>
    <t>093-0121-21</t>
  </si>
  <si>
    <t>d_elwood74@msn.com</t>
  </si>
  <si>
    <t>495-0044-17</t>
  </si>
  <si>
    <t>bluejacobson5@gmail.com</t>
  </si>
  <si>
    <t>007-0218-17</t>
  </si>
  <si>
    <t>026-0017-17</t>
  </si>
  <si>
    <t>amy.chebuhar@southeastpolk.org</t>
  </si>
  <si>
    <t>013-0202-20</t>
  </si>
  <si>
    <t>joyd4212@gmail.com</t>
  </si>
  <si>
    <t>024-0029-20</t>
  </si>
  <si>
    <t>lrichtsm@gmail.com</t>
  </si>
  <si>
    <t>014-0325-19</t>
  </si>
  <si>
    <t>khowassah@hotmail.com</t>
  </si>
  <si>
    <t>024-0049-20</t>
  </si>
  <si>
    <t>ryleew1008@icloud.com</t>
  </si>
  <si>
    <t>002-0082-18</t>
  </si>
  <si>
    <t>iplayvampire@yahoo.com</t>
  </si>
  <si>
    <t>014-0098-17</t>
  </si>
  <si>
    <t>owenstammyk@gmail.com</t>
  </si>
  <si>
    <t>042-0171-14</t>
  </si>
  <si>
    <t>miketenneh@gmail.com</t>
  </si>
  <si>
    <t>024-0122-17</t>
  </si>
  <si>
    <t>taysavage96@gmail.com</t>
  </si>
  <si>
    <t>002-0078-18</t>
  </si>
  <si>
    <t>013-0169-15</t>
  </si>
  <si>
    <t>tajiedmonds61@gmail.com</t>
  </si>
  <si>
    <t>001-0035-17</t>
  </si>
  <si>
    <t>rasmussenashley16@gmail.com</t>
  </si>
  <si>
    <t>026-0363-21</t>
  </si>
  <si>
    <t>026-0759-20</t>
  </si>
  <si>
    <t>staciecalby@yahoo.com</t>
  </si>
  <si>
    <t>003-0013-21</t>
  </si>
  <si>
    <t>logansjogsfordogs@gmail.com</t>
  </si>
  <si>
    <t>015-0016-21</t>
  </si>
  <si>
    <t>jeffhinman1968@gmail.com</t>
  </si>
  <si>
    <t>008-0026-17</t>
  </si>
  <si>
    <t>jennifermobley39@yahoo.com</t>
  </si>
  <si>
    <t>026-0051-22</t>
  </si>
  <si>
    <t>Ashlee Cummings</t>
  </si>
  <si>
    <t>corettaburks4@gmail.com</t>
  </si>
  <si>
    <t>015-0065-20</t>
  </si>
  <si>
    <t>akzuviri@my.niacc.edu</t>
  </si>
  <si>
    <t>026-0586-19</t>
  </si>
  <si>
    <t>horacegines63@gmail.com</t>
  </si>
  <si>
    <t>002-0028-20</t>
  </si>
  <si>
    <t>026-0157-17</t>
  </si>
  <si>
    <t>knudsen5@mchsi.com</t>
  </si>
  <si>
    <t>002-0245-20</t>
  </si>
  <si>
    <t>026-0188-18</t>
  </si>
  <si>
    <t>024-0028-16</t>
  </si>
  <si>
    <t>wowilmes@dmacc.edu</t>
  </si>
  <si>
    <t>024-0040-19</t>
  </si>
  <si>
    <t>jordynthede@yahoo.com</t>
  </si>
  <si>
    <t>014-0290-19</t>
  </si>
  <si>
    <t>douglaspkaiden1958@gmail.com</t>
  </si>
  <si>
    <t>002-0041-18</t>
  </si>
  <si>
    <t>026-0187-16</t>
  </si>
  <si>
    <t>igkrohn2@mchsi.com</t>
  </si>
  <si>
    <t>002-0159-15</t>
  </si>
  <si>
    <t>weekstami30@gmail.com</t>
  </si>
  <si>
    <t>497-0052-16</t>
  </si>
  <si>
    <t>holcombc199@gmail.com</t>
  </si>
  <si>
    <t>015-0055-18</t>
  </si>
  <si>
    <t>dramama@live.com</t>
  </si>
  <si>
    <t>026-0444-14</t>
  </si>
  <si>
    <t>PictureGirl@q.com</t>
  </si>
  <si>
    <t>013-0061-20</t>
  </si>
  <si>
    <t>hawks1236@yahoo.com</t>
  </si>
  <si>
    <t>007-0032-19</t>
  </si>
  <si>
    <t>njsigafus@outlook.com</t>
  </si>
  <si>
    <t>065-0036-19</t>
  </si>
  <si>
    <t>ludewild@mtcnet.net</t>
  </si>
  <si>
    <t>013-0073-14</t>
  </si>
  <si>
    <t>jessica-turnis@student.kirkwood.edu</t>
  </si>
  <si>
    <t>015-0093-20</t>
  </si>
  <si>
    <t>millergrace990@gmail.com</t>
  </si>
  <si>
    <t>014-0140-19</t>
  </si>
  <si>
    <t>robertconry18@gmail.com</t>
  </si>
  <si>
    <t>001-0093-17</t>
  </si>
  <si>
    <t>cswearingen.1@yahoo.com</t>
  </si>
  <si>
    <t>013-0243-19</t>
  </si>
  <si>
    <t>015-0037-18</t>
  </si>
  <si>
    <t>lk3932k2@gmail.com</t>
  </si>
  <si>
    <t>026-0125-21</t>
  </si>
  <si>
    <t>wg8194629@gmail.com</t>
  </si>
  <si>
    <t>008-0202-21</t>
  </si>
  <si>
    <t>rob.johnson76gasstation66@gmail.com</t>
  </si>
  <si>
    <t>015-0084-21</t>
  </si>
  <si>
    <t>dylanswai@gmail.com</t>
  </si>
  <si>
    <t>007-0226-19</t>
  </si>
  <si>
    <t>026-0317-22</t>
  </si>
  <si>
    <t>332-0019-19</t>
  </si>
  <si>
    <t>fetzronald@yahoo.com</t>
  </si>
  <si>
    <t>008-0289-19</t>
  </si>
  <si>
    <t>collinjames2001@gmail.com</t>
  </si>
  <si>
    <t>013-0131-14</t>
  </si>
  <si>
    <t>jseeber311@gmail.com</t>
  </si>
  <si>
    <t>001-0023-17</t>
  </si>
  <si>
    <t>smbriney22@gmail.com</t>
  </si>
  <si>
    <t>026-0067-20</t>
  </si>
  <si>
    <t>melissa.eenhuis@hotmail.com</t>
  </si>
  <si>
    <t>015-0149-21</t>
  </si>
  <si>
    <t>timothystepleton17@gmail.com</t>
  </si>
  <si>
    <t>481-0073-19</t>
  </si>
  <si>
    <t>001-0016-20</t>
  </si>
  <si>
    <t>Cara Di Giovanni</t>
  </si>
  <si>
    <t>theresamlegg@gmail.com</t>
  </si>
  <si>
    <t>005-0207-19</t>
  </si>
  <si>
    <t>013-0035-19</t>
  </si>
  <si>
    <t>spencerkloser9@gmai.com</t>
  </si>
  <si>
    <t>002-0141-17</t>
  </si>
  <si>
    <t>bobbymatthews2726@gmail.com</t>
  </si>
  <si>
    <t>006-0479-21</t>
  </si>
  <si>
    <t>065-0061-18</t>
  </si>
  <si>
    <t>gregulm51@gmail.com</t>
  </si>
  <si>
    <t>015-0331-20</t>
  </si>
  <si>
    <t>vosburghmas@aol.com</t>
  </si>
  <si>
    <t>026-0782-20</t>
  </si>
  <si>
    <t>1963jesshart@gmail.com</t>
  </si>
  <si>
    <t>093-0005-19</t>
  </si>
  <si>
    <t>smoltzkayla@gmail.com</t>
  </si>
  <si>
    <t>008-0098-19</t>
  </si>
  <si>
    <t>19chrtja@student.cfschools.org</t>
  </si>
  <si>
    <t>005-0149-21</t>
  </si>
  <si>
    <t>Jean Knoll</t>
  </si>
  <si>
    <t>tannerrokes@gmail.com</t>
  </si>
  <si>
    <t>013-0119-20</t>
  </si>
  <si>
    <t>kimmydo1@hotmail.com</t>
  </si>
  <si>
    <t>025-0039-21</t>
  </si>
  <si>
    <t>Abbydawn02aa@gmail.com</t>
  </si>
  <si>
    <t>026-0384-15</t>
  </si>
  <si>
    <t>cman7761@gmail.com</t>
  </si>
  <si>
    <t>453-0010-20</t>
  </si>
  <si>
    <t>hs105909@mcsdonline.org</t>
  </si>
  <si>
    <t>015-0301-19</t>
  </si>
  <si>
    <t>loers2@tritons.iowacentral.edu</t>
  </si>
  <si>
    <t>093-0101-21</t>
  </si>
  <si>
    <t>georgiagurl117@gmail.com</t>
  </si>
  <si>
    <t>078-0058-19</t>
  </si>
  <si>
    <t>026-0817-21</t>
  </si>
  <si>
    <t>murphysLaw1969@yahoo.com</t>
  </si>
  <si>
    <t>002-0064-20</t>
  </si>
  <si>
    <t>faithed@gmail.com</t>
  </si>
  <si>
    <t>015-0097-21</t>
  </si>
  <si>
    <t>tonymazoleny072@gmail.com</t>
  </si>
  <si>
    <t>026-0213-15</t>
  </si>
  <si>
    <t>rocataza@yahoo.com</t>
  </si>
  <si>
    <t>011-0185-20</t>
  </si>
  <si>
    <t>enriggs255@gmail.com</t>
  </si>
  <si>
    <t>024-0030-17</t>
  </si>
  <si>
    <t>Thunderbirds20032004@yahoo.com</t>
  </si>
  <si>
    <t>001-0306-19</t>
  </si>
  <si>
    <t>Christopher.macaw@gmail.com</t>
  </si>
  <si>
    <t>026-0363-15</t>
  </si>
  <si>
    <t>englandjbrian0@gmail.com</t>
  </si>
  <si>
    <t>065-0021-18</t>
  </si>
  <si>
    <t>carriemcdone11972@gmail.com</t>
  </si>
  <si>
    <t>026-0433-20</t>
  </si>
  <si>
    <t>ford.mike.w@gmail.com</t>
  </si>
  <si>
    <t>008-0151-20</t>
  </si>
  <si>
    <t>006-0188-19</t>
  </si>
  <si>
    <t>008-0216-20</t>
  </si>
  <si>
    <t>mbplanet4u@gmail.com</t>
  </si>
  <si>
    <t>008-0010-20</t>
  </si>
  <si>
    <t>014-0022-21</t>
  </si>
  <si>
    <t>cyclones803@gmail.com</t>
  </si>
  <si>
    <t>006-0174-18</t>
  </si>
  <si>
    <t>lrcgrc@yahoo.com</t>
  </si>
  <si>
    <t>013-0232-14</t>
  </si>
  <si>
    <t>tmldbq@yahoo.com</t>
  </si>
  <si>
    <t>001-0376-19</t>
  </si>
  <si>
    <t>egafishibinsegihura058@gmail.com</t>
  </si>
  <si>
    <t>026-0459-14</t>
  </si>
  <si>
    <t>dalton.eichhorn96@gmail.com</t>
  </si>
  <si>
    <t>015-0146-19</t>
  </si>
  <si>
    <t>carlosoulman@gmail.com</t>
  </si>
  <si>
    <t>001-0135-14</t>
  </si>
  <si>
    <t>tiffk6@gmail.com</t>
  </si>
  <si>
    <t>453-0035-20</t>
  </si>
  <si>
    <t>dasell52@gmail.com</t>
  </si>
  <si>
    <t>485-0097-20</t>
  </si>
  <si>
    <t>026-0596-21</t>
  </si>
  <si>
    <t>ccamp77700@yahoo.com</t>
  </si>
  <si>
    <t>001-0294-18</t>
  </si>
  <si>
    <t>jakanator900@gmail.com</t>
  </si>
  <si>
    <t>024-0100-18</t>
  </si>
  <si>
    <t>tulsielina@gmail.com</t>
  </si>
  <si>
    <t>013-0349-21</t>
  </si>
  <si>
    <t>petertlehmann@gmail.com</t>
  </si>
  <si>
    <t>026-0557-17</t>
  </si>
  <si>
    <t>feebis96@q.com</t>
  </si>
  <si>
    <t>008-0190-19</t>
  </si>
  <si>
    <t>014-0293-19</t>
  </si>
  <si>
    <t>ryanporch@yandex.com</t>
  </si>
  <si>
    <t>093-0055-18</t>
  </si>
  <si>
    <t>harpermckenna@icloud.com</t>
  </si>
  <si>
    <t>007-0060-21</t>
  </si>
  <si>
    <t>watters.alex@gmail.com</t>
  </si>
  <si>
    <t>026-0139-11</t>
  </si>
  <si>
    <t>alanperry44@gmail.com</t>
  </si>
  <si>
    <t>006-0417-20</t>
  </si>
  <si>
    <t>jones.tina61@yahoo.com</t>
  </si>
  <si>
    <t>014-0353-20</t>
  </si>
  <si>
    <t>cassclan6@aol.com</t>
  </si>
  <si>
    <t>003-0344-21</t>
  </si>
  <si>
    <t>john@kvapster.com</t>
  </si>
  <si>
    <t>025-0030-21</t>
  </si>
  <si>
    <t>madison.birkenholz@gmail.com</t>
  </si>
  <si>
    <t>560-0007-18</t>
  </si>
  <si>
    <t>hunterlindie@yahoo.com</t>
  </si>
  <si>
    <t>013-0261-19</t>
  </si>
  <si>
    <t>alexweimerskirch365@gmail.com</t>
  </si>
  <si>
    <t>026-0689-20</t>
  </si>
  <si>
    <t>karmibrenda@yahoo.com</t>
  </si>
  <si>
    <t>065-0067-17</t>
  </si>
  <si>
    <t>093-0092-21</t>
  </si>
  <si>
    <t>marcushiggins321@gmail.com</t>
  </si>
  <si>
    <t>001-0140-17</t>
  </si>
  <si>
    <t>bigtdev@gmail.com</t>
  </si>
  <si>
    <t>013-0223-21</t>
  </si>
  <si>
    <t>hd-schilling@yahoo.com</t>
  </si>
  <si>
    <t>497-0017-14</t>
  </si>
  <si>
    <t>ejj52297@gmail.com</t>
  </si>
  <si>
    <t>481-0042-17</t>
  </si>
  <si>
    <t>002-0018-20</t>
  </si>
  <si>
    <t>014-0163-15</t>
  </si>
  <si>
    <t>stephvest0408@gmail.com</t>
  </si>
  <si>
    <t>015-0187-19</t>
  </si>
  <si>
    <t>sallyhart39@gmail.com</t>
  </si>
  <si>
    <t>033-0011-13</t>
  </si>
  <si>
    <t>jill.halstead196@gmail.com</t>
  </si>
  <si>
    <t>014-0311-18</t>
  </si>
  <si>
    <t>006-0431-21</t>
  </si>
  <si>
    <t>DMJ71@hotmail.com</t>
  </si>
  <si>
    <t>026-0241-15</t>
  </si>
  <si>
    <t>jmchoopster@gmail.com</t>
  </si>
  <si>
    <t>011-0161-17</t>
  </si>
  <si>
    <t>026-0107-21</t>
  </si>
  <si>
    <t>jyussuf208@gmail.com</t>
  </si>
  <si>
    <t>001-0423-21</t>
  </si>
  <si>
    <t>alison.may.driscoll@gmail.com</t>
  </si>
  <si>
    <t>042-0234-20</t>
  </si>
  <si>
    <t>ericschultz1209@gmail.com</t>
  </si>
  <si>
    <t>024-0035-16</t>
  </si>
  <si>
    <t>hgwags@gmail.com</t>
  </si>
  <si>
    <t>024-0142-18</t>
  </si>
  <si>
    <t>karlamsilvestrini@gmail.com</t>
  </si>
  <si>
    <t>002-0029-20</t>
  </si>
  <si>
    <t>dennispage1828@live.com</t>
  </si>
  <si>
    <t>453-0026-17</t>
  </si>
  <si>
    <t>68mustang@machlink.com</t>
  </si>
  <si>
    <t>485-0036-19</t>
  </si>
  <si>
    <t>js6524787@gmail.com</t>
  </si>
  <si>
    <t>065-0019-18</t>
  </si>
  <si>
    <t>msdwn@yahoo.com</t>
  </si>
  <si>
    <t>026-0036-16</t>
  </si>
  <si>
    <t>alvinstone511@gmail.com</t>
  </si>
  <si>
    <t>005-0090-21</t>
  </si>
  <si>
    <t>huntbarbara08@gmail.com</t>
  </si>
  <si>
    <t>026-0092-17</t>
  </si>
  <si>
    <t>my4dees@aol.com</t>
  </si>
  <si>
    <t>003-0187-20</t>
  </si>
  <si>
    <t>scarsellaashley2003@gmail.com</t>
  </si>
  <si>
    <t>024-0214-20</t>
  </si>
  <si>
    <t>derpface6672@gmail.com</t>
  </si>
  <si>
    <t>065-0016-19</t>
  </si>
  <si>
    <t>goaliegirl31.mw@gmail.com</t>
  </si>
  <si>
    <t>007-0149-20</t>
  </si>
  <si>
    <t>rejacobson1729@gmail.com</t>
  </si>
  <si>
    <t>013-0179-20</t>
  </si>
  <si>
    <t>beckerj0123@gmail.com</t>
  </si>
  <si>
    <t>024-0017-22</t>
  </si>
  <si>
    <t>daitynn.coppagew@gmail.com</t>
  </si>
  <si>
    <t>015-0081-20</t>
  </si>
  <si>
    <t>keghanoppman@gmail.com</t>
  </si>
  <si>
    <t>002-0129-17</t>
  </si>
  <si>
    <t>001-0340-18</t>
  </si>
  <si>
    <t>timikawilliams@mchsi.com</t>
  </si>
  <si>
    <t>042-0163-18</t>
  </si>
  <si>
    <t>marvinfricke9@hotmail.com</t>
  </si>
  <si>
    <t>042-0141-21</t>
  </si>
  <si>
    <t>mariaburkle@yahoo.com</t>
  </si>
  <si>
    <t>496-0011-19</t>
  </si>
  <si>
    <t>kellyconnordsm@gmail.com</t>
  </si>
  <si>
    <t>002-0336-02</t>
  </si>
  <si>
    <t>lmay364@gmail.com</t>
  </si>
  <si>
    <t>453-0031-19</t>
  </si>
  <si>
    <t>ianjcchapman@gmail.com</t>
  </si>
  <si>
    <t>001-0700-20</t>
  </si>
  <si>
    <t>samerincr@aol.com</t>
  </si>
  <si>
    <t>002-0152-17</t>
  </si>
  <si>
    <t>jpscheffler@outlook.com</t>
  </si>
  <si>
    <t>026-0041-16</t>
  </si>
  <si>
    <t>niyamatthews101@gmail.com</t>
  </si>
  <si>
    <t>078-0046-19</t>
  </si>
  <si>
    <t>024-0111-18</t>
  </si>
  <si>
    <t>015-0353-18</t>
  </si>
  <si>
    <t>cheryl1985rude@gmail.com</t>
  </si>
  <si>
    <t>092-0036-21</t>
  </si>
  <si>
    <t>006-0175-21</t>
  </si>
  <si>
    <t>001-0402-21</t>
  </si>
  <si>
    <t>008-0455-21</t>
  </si>
  <si>
    <t>emcordes1180@gmail.com</t>
  </si>
  <si>
    <t>008-0300-19</t>
  </si>
  <si>
    <t>026-0380-21</t>
  </si>
  <si>
    <t>026-0155-18</t>
  </si>
  <si>
    <t>007-0100-20</t>
  </si>
  <si>
    <t>rogerrobinson42@gmail.com</t>
  </si>
  <si>
    <t>008-0255-17</t>
  </si>
  <si>
    <t>015-0311-20</t>
  </si>
  <si>
    <t>achool9u@gmail.com</t>
  </si>
  <si>
    <t>481-0019-16</t>
  </si>
  <si>
    <t>garrettcooper250@gmai.com</t>
  </si>
  <si>
    <t>014-0245-18</t>
  </si>
  <si>
    <t>leeannrinderer66@gmail.com</t>
  </si>
  <si>
    <t>026-0437-20</t>
  </si>
  <si>
    <t>skversegarage@gmail.com</t>
  </si>
  <si>
    <t>013-0379-21</t>
  </si>
  <si>
    <t>tonymike93@gmail.com</t>
  </si>
  <si>
    <t>065-0046-16</t>
  </si>
  <si>
    <t>013-0198-15</t>
  </si>
  <si>
    <t>luedtkemi90@gmail.com</t>
  </si>
  <si>
    <t>007-0266-21</t>
  </si>
  <si>
    <t>camiwilliams4640@gmail.com</t>
  </si>
  <si>
    <t>026-0259-21</t>
  </si>
  <si>
    <t>alex.hendricks480@yahoo.com</t>
  </si>
  <si>
    <t>560-0012-18</t>
  </si>
  <si>
    <t>carrollh1998@gmail.com</t>
  </si>
  <si>
    <t>003-0097-17</t>
  </si>
  <si>
    <t>menker@aol.com</t>
  </si>
  <si>
    <t>007-0114-20</t>
  </si>
  <si>
    <t>quacksimpson@gmail.com</t>
  </si>
  <si>
    <t>481-0082-18</t>
  </si>
  <si>
    <t>andrea471972@hotmail.com</t>
  </si>
  <si>
    <t>078-0051-21</t>
  </si>
  <si>
    <t>003-0126-19</t>
  </si>
  <si>
    <t>shawnlee7ass@gmail.com</t>
  </si>
  <si>
    <t>026-0656-18</t>
  </si>
  <si>
    <t>jeremy.reben@gmail.com</t>
  </si>
  <si>
    <t>001-0002-20</t>
  </si>
  <si>
    <t>ZacharyKieler@gmail.com</t>
  </si>
  <si>
    <t>005-0102-17</t>
  </si>
  <si>
    <t>026-0608-21</t>
  </si>
  <si>
    <t>hannahrosewahl@gmail.com</t>
  </si>
  <si>
    <t>065-0064-20</t>
  </si>
  <si>
    <t>015-0192-21</t>
  </si>
  <si>
    <t>barkhurst05@gmail.com</t>
  </si>
  <si>
    <t>026-0312-19</t>
  </si>
  <si>
    <t>mistycooper81@yahoo.com</t>
  </si>
  <si>
    <t>014-0186-18</t>
  </si>
  <si>
    <t>jayascherkenbach@gmail.com</t>
  </si>
  <si>
    <t>005-0186-20</t>
  </si>
  <si>
    <t>rmelliott17@gmail.com</t>
  </si>
  <si>
    <t>026-0396-21</t>
  </si>
  <si>
    <t>johnflater83@gmail.com</t>
  </si>
  <si>
    <t>015-0220-18</t>
  </si>
  <si>
    <t>jake.retz259@hotmail.com</t>
  </si>
  <si>
    <t>026-0021-16</t>
  </si>
  <si>
    <t>hunterw0313@gmail.com</t>
  </si>
  <si>
    <t>007-0094-17</t>
  </si>
  <si>
    <t>masonmacke42@gmail.com</t>
  </si>
  <si>
    <t>008-0541-20</t>
  </si>
  <si>
    <t>heathdawn94@gmail.com</t>
  </si>
  <si>
    <t>026-0328-21</t>
  </si>
  <si>
    <t>bcmeyer@mchsi.com</t>
  </si>
  <si>
    <t>026-0405-15</t>
  </si>
  <si>
    <t>shychad@gmail.com</t>
  </si>
  <si>
    <t>485-0023-21</t>
  </si>
  <si>
    <t>bjsellers2@hotmail.com</t>
  </si>
  <si>
    <t>003-0136-19</t>
  </si>
  <si>
    <t>092-0009-13</t>
  </si>
  <si>
    <t>sandra_leyv@hotmail.com</t>
  </si>
  <si>
    <t>002-0012-20</t>
  </si>
  <si>
    <t>conniekisses.ck@gmail.com</t>
  </si>
  <si>
    <t>007-0099-21</t>
  </si>
  <si>
    <t>barnicalheads@gmail.com</t>
  </si>
  <si>
    <t>481-0071-16</t>
  </si>
  <si>
    <t>derickseaton@gmail.com</t>
  </si>
  <si>
    <t>008-0447-21</t>
  </si>
  <si>
    <t>rjnovak15@gmail.com</t>
  </si>
  <si>
    <t>026-0194-17</t>
  </si>
  <si>
    <t>renaissancemanatlarge@gmail.com</t>
  </si>
  <si>
    <t>042-0103-19</t>
  </si>
  <si>
    <t>effelfezzy@gmail.com</t>
  </si>
  <si>
    <t>065-0025-20</t>
  </si>
  <si>
    <t>laurelmarie@live.com</t>
  </si>
  <si>
    <t>013-0146-17</t>
  </si>
  <si>
    <t>485-0094-20</t>
  </si>
  <si>
    <t>ASNDC12@gmail.com</t>
  </si>
  <si>
    <t>042-0015-18</t>
  </si>
  <si>
    <t>2021igray@agwsr.org</t>
  </si>
  <si>
    <t>485-0011-21</t>
  </si>
  <si>
    <t>mellissalynne6@gmail.com</t>
  </si>
  <si>
    <t>011-0028-19</t>
  </si>
  <si>
    <t>steelerx89@gmail.com</t>
  </si>
  <si>
    <t>015-0261-19</t>
  </si>
  <si>
    <t>ericluppen@gmail.com</t>
  </si>
  <si>
    <t>026-0598-18</t>
  </si>
  <si>
    <t>cameronchrisp2015@gmail.com</t>
  </si>
  <si>
    <t>001-0278-19</t>
  </si>
  <si>
    <t>007-0086-17</t>
  </si>
  <si>
    <t>natharv@gmail.com</t>
  </si>
  <si>
    <t>001-0347-21</t>
  </si>
  <si>
    <t>sonyacungtion@yahoo.com</t>
  </si>
  <si>
    <t>042-0071-19</t>
  </si>
  <si>
    <t>jvest34@gmail.com</t>
  </si>
  <si>
    <t>015-0168-20</t>
  </si>
  <si>
    <t>mehmen6@gmail.com</t>
  </si>
  <si>
    <t>065-0072-19</t>
  </si>
  <si>
    <t>cheerfulfamily7386@gmail.com</t>
  </si>
  <si>
    <t>001-0307-21</t>
  </si>
  <si>
    <t>eefowler00@gmail.com</t>
  </si>
  <si>
    <t>092-0022-21</t>
  </si>
  <si>
    <t>001-0603-21</t>
  </si>
  <si>
    <t>ethnv14@mchsi.com</t>
  </si>
  <si>
    <t>013-0276-18</t>
  </si>
  <si>
    <t>008-0064-20</t>
  </si>
  <si>
    <t>014-0126-19</t>
  </si>
  <si>
    <t>jenharris0032@gmail.com</t>
  </si>
  <si>
    <t>025-0007-19</t>
  </si>
  <si>
    <t>001-0304-17</t>
  </si>
  <si>
    <t>stayne14@yahoo.com</t>
  </si>
  <si>
    <t>078-0056-21</t>
  </si>
  <si>
    <t>013-0129-19</t>
  </si>
  <si>
    <t>liamblack24@gmail.com</t>
  </si>
  <si>
    <t>011-0119-18</t>
  </si>
  <si>
    <t>drwellman84@gmail.com</t>
  </si>
  <si>
    <t>008-0370-18</t>
  </si>
  <si>
    <t>alyjolie54@gmail.com</t>
  </si>
  <si>
    <t>497-0074-15</t>
  </si>
  <si>
    <t>ellie.johnston01@gmail.com</t>
  </si>
  <si>
    <t>002-0153-17</t>
  </si>
  <si>
    <t>4caronajenese@gmail.com</t>
  </si>
  <si>
    <t>026-0461-19</t>
  </si>
  <si>
    <t>mts804@culver.edu</t>
  </si>
  <si>
    <t>007-0183-20</t>
  </si>
  <si>
    <t>walkerl21@live.siouxcityschools.com</t>
  </si>
  <si>
    <t>013-0137-19</t>
  </si>
  <si>
    <t>481-0063-21</t>
  </si>
  <si>
    <t>481-0053-19</t>
  </si>
  <si>
    <t>dlmundorf@gmail.com</t>
  </si>
  <si>
    <t>078-0090-20</t>
  </si>
  <si>
    <t>callahanjulz67@gmail.com</t>
  </si>
  <si>
    <t>042-0158-21</t>
  </si>
  <si>
    <t>willbovee@yahoo.com</t>
  </si>
  <si>
    <t>025-0078-20</t>
  </si>
  <si>
    <t>johnvanpatten99@gmail.com</t>
  </si>
  <si>
    <t>481-0019-20</t>
  </si>
  <si>
    <t>025-0047-21</t>
  </si>
  <si>
    <t>robert_mclead@yahoo.com</t>
  </si>
  <si>
    <t>013-0051-15</t>
  </si>
  <si>
    <t>wendling@iastate.edu</t>
  </si>
  <si>
    <t>002-0250-18</t>
  </si>
  <si>
    <t>005-0116-19</t>
  </si>
  <si>
    <t>006-0360-21</t>
  </si>
  <si>
    <t>treyrhardin@gmail.com</t>
  </si>
  <si>
    <t>002-0374-20</t>
  </si>
  <si>
    <t>015-0176-20</t>
  </si>
  <si>
    <t>brianasflack@gmail.com</t>
  </si>
  <si>
    <t>001-0247-20</t>
  </si>
  <si>
    <t>tarriswift@yahoo.com</t>
  </si>
  <si>
    <t>002-0121-18</t>
  </si>
  <si>
    <t>006-0153-21</t>
  </si>
  <si>
    <t>oval_wheels@hotmail.com</t>
  </si>
  <si>
    <t>332-0110-18</t>
  </si>
  <si>
    <t>008-0207-20</t>
  </si>
  <si>
    <t>026-0323-13</t>
  </si>
  <si>
    <t>emnathwani@gmail.com</t>
  </si>
  <si>
    <t>001-0343-19</t>
  </si>
  <si>
    <t>hopeschroer@yahoo.com</t>
  </si>
  <si>
    <t>008-0397-15</t>
  </si>
  <si>
    <t>crosskull42999@gmail.com</t>
  </si>
  <si>
    <t>026-0228-19</t>
  </si>
  <si>
    <t>jgalasso85@gmail.com</t>
  </si>
  <si>
    <t>042-0069-22</t>
  </si>
  <si>
    <t>bdiggins6@gmail.com</t>
  </si>
  <si>
    <t>013-0244-19</t>
  </si>
  <si>
    <t>cgraham709@gmail.com</t>
  </si>
  <si>
    <t>001-0225-17</t>
  </si>
  <si>
    <t>iowahawkeyes35@gmail.com</t>
  </si>
  <si>
    <t>009-0096-21</t>
  </si>
  <si>
    <t>008-0155-20</t>
  </si>
  <si>
    <t>joefulller266@gmail.com</t>
  </si>
  <si>
    <t>042-0086-18</t>
  </si>
  <si>
    <t>omear056@umn.edu</t>
  </si>
  <si>
    <t>008-0108-19</t>
  </si>
  <si>
    <t>zombie.kitten656@gmail.com</t>
  </si>
  <si>
    <t>495-0015-15</t>
  </si>
  <si>
    <t>024-0007-20</t>
  </si>
  <si>
    <t>zariamyers96@gmail.com</t>
  </si>
  <si>
    <t>002-0252-18</t>
  </si>
  <si>
    <t>nreed2489@gmail.com</t>
  </si>
  <si>
    <t>485-0022-20</t>
  </si>
  <si>
    <t>tonymikhale@icloud.com</t>
  </si>
  <si>
    <t>014-0091-21</t>
  </si>
  <si>
    <t>caseyaven82@gmail.com</t>
  </si>
  <si>
    <t>002-0012-19</t>
  </si>
  <si>
    <t>001-0373-16</t>
  </si>
  <si>
    <t>spina727@gmail.com</t>
  </si>
  <si>
    <t>007-0026-16</t>
  </si>
  <si>
    <t>001-0602-20</t>
  </si>
  <si>
    <t>jnwesselink@gmail.com</t>
  </si>
  <si>
    <t>001-0485-19</t>
  </si>
  <si>
    <t>ablondie4ever@gmail.com</t>
  </si>
  <si>
    <t>024-0189-17</t>
  </si>
  <si>
    <t>mcar2487@gmail.com</t>
  </si>
  <si>
    <t>011-0048-19</t>
  </si>
  <si>
    <t>tyler_graham@stu.indianhills.edu</t>
  </si>
  <si>
    <t>007-0147-17</t>
  </si>
  <si>
    <t>21salemor@gmail.com</t>
  </si>
  <si>
    <t>015-0345-18</t>
  </si>
  <si>
    <t>searsoj@yahoo.com</t>
  </si>
  <si>
    <t>481-0094-15</t>
  </si>
  <si>
    <t>rhinohil@gmail.com</t>
  </si>
  <si>
    <t>485-0086-20</t>
  </si>
  <si>
    <t>whitakerdameca@gmail.com</t>
  </si>
  <si>
    <t>026-0171-20</t>
  </si>
  <si>
    <t>amy.hovick@yahoo.com</t>
  </si>
  <si>
    <t>015-0116-22</t>
  </si>
  <si>
    <t>026-0432-14</t>
  </si>
  <si>
    <t>jhawco@gmail.com</t>
  </si>
  <si>
    <t>002-0100-16</t>
  </si>
  <si>
    <t>tymoreno@gmail.com</t>
  </si>
  <si>
    <t>015-0336-19</t>
  </si>
  <si>
    <t>neubauermonte@gmail.com</t>
  </si>
  <si>
    <t>093-0016-20</t>
  </si>
  <si>
    <t>005-0053-21</t>
  </si>
  <si>
    <t>dustinandsky9092@gmail.com</t>
  </si>
  <si>
    <t>008-0431-19</t>
  </si>
  <si>
    <t>upahtaylor@gmail.com</t>
  </si>
  <si>
    <t>026-0117-22</t>
  </si>
  <si>
    <t>042-0035-20</t>
  </si>
  <si>
    <t>shinedownfan9923@gmail.com</t>
  </si>
  <si>
    <t>002-0121-21</t>
  </si>
  <si>
    <t>petersonb91070@gmail.com</t>
  </si>
  <si>
    <t>008-0095-21</t>
  </si>
  <si>
    <t>JacobWieland0@gmail.com</t>
  </si>
  <si>
    <t>003-0097-21</t>
  </si>
  <si>
    <t>niemisandra11@gmail.com</t>
  </si>
  <si>
    <t>485-0088-18</t>
  </si>
  <si>
    <t>suzyk1946@yahoo.com</t>
  </si>
  <si>
    <t>481-0064-21</t>
  </si>
  <si>
    <t>timtaylorhhb@gmail.com</t>
  </si>
  <si>
    <t>026-0474-17</t>
  </si>
  <si>
    <t>Micburke40@gmail.com</t>
  </si>
  <si>
    <t>042-0044-19</t>
  </si>
  <si>
    <t>arinjelmeland@gmail.com</t>
  </si>
  <si>
    <t>042-0136-21</t>
  </si>
  <si>
    <t>vjuarez101@icloud.com</t>
  </si>
  <si>
    <t>026-0397-15</t>
  </si>
  <si>
    <t>taylorw123@live.com</t>
  </si>
  <si>
    <t>001-0438-15</t>
  </si>
  <si>
    <t>tenacats@aol.com</t>
  </si>
  <si>
    <t>002-0370-20</t>
  </si>
  <si>
    <t>042-0066-20</t>
  </si>
  <si>
    <t>006-0354-20</t>
  </si>
  <si>
    <t>lorsnardo3@gmail.com</t>
  </si>
  <si>
    <t>042-0064-21</t>
  </si>
  <si>
    <t>VanCleaveGC@msn.com</t>
  </si>
  <si>
    <t>026-0662-18</t>
  </si>
  <si>
    <t>mussmannr@gmail.com</t>
  </si>
  <si>
    <t>001-0622-19</t>
  </si>
  <si>
    <t>026-0102-19</t>
  </si>
  <si>
    <t>safaa.elnour@live.com</t>
  </si>
  <si>
    <t>026-0319-18</t>
  </si>
  <si>
    <t>mulderdonna@yahoo.com</t>
  </si>
  <si>
    <t>092-0015-17</t>
  </si>
  <si>
    <t>nelsonannalie@gmail.com</t>
  </si>
  <si>
    <t>093-0098-12</t>
  </si>
  <si>
    <t>005-0079-19</t>
  </si>
  <si>
    <t>rdarispe@gmail.com</t>
  </si>
  <si>
    <t>001-0251-19</t>
  </si>
  <si>
    <t>mrsamandarohlf@gmail.com</t>
  </si>
  <si>
    <t>026-0203-21</t>
  </si>
  <si>
    <t>hayden.bari@gmail.com</t>
  </si>
  <si>
    <t>001-0554-21</t>
  </si>
  <si>
    <t>dougbeards@gmail.com</t>
  </si>
  <si>
    <t>006-0316-21</t>
  </si>
  <si>
    <t>014-0025-22</t>
  </si>
  <si>
    <t>reed4tack@hotmail.com</t>
  </si>
  <si>
    <t>332-0085-21</t>
  </si>
  <si>
    <t>015-0148-18</t>
  </si>
  <si>
    <t>canocarlos0506@gmail.com</t>
  </si>
  <si>
    <t>001-0140-15</t>
  </si>
  <si>
    <t>ninaalbarn@yahoo.com</t>
  </si>
  <si>
    <t>008-0418-21</t>
  </si>
  <si>
    <t>kfrisch1980@outlook.com</t>
  </si>
  <si>
    <t>024-0050-20</t>
  </si>
  <si>
    <t>ashleyvan84@gmail.com</t>
  </si>
  <si>
    <t>007-0155-16</t>
  </si>
  <si>
    <t>CathyL7528@gmail.com</t>
  </si>
  <si>
    <t>013-0359-21</t>
  </si>
  <si>
    <t>001-0567-19</t>
  </si>
  <si>
    <t>jhaverland1423@gmail.com</t>
  </si>
  <si>
    <t>007-0260-20</t>
  </si>
  <si>
    <t>013-0218-19</t>
  </si>
  <si>
    <t>015-0157-19</t>
  </si>
  <si>
    <t>digit19825@outlook.com</t>
  </si>
  <si>
    <t>008-0178-19</t>
  </si>
  <si>
    <t>Ryanheim2012@gmail.com</t>
  </si>
  <si>
    <t>001-0621-21</t>
  </si>
  <si>
    <t>RM2Donahue@aol.com</t>
  </si>
  <si>
    <t>001-0155-18</t>
  </si>
  <si>
    <t>mrjonesgggf2@gmail.com</t>
  </si>
  <si>
    <t>003-0151-15</t>
  </si>
  <si>
    <t>chknkng@gmail.com</t>
  </si>
  <si>
    <t>011-0085-20</t>
  </si>
  <si>
    <t>tv35872@gmail.com</t>
  </si>
  <si>
    <t>026-0353-15</t>
  </si>
  <si>
    <t>nathanking752@gmail.com</t>
  </si>
  <si>
    <t>026-0584-21</t>
  </si>
  <si>
    <t>batchelder.deanna@principal.com</t>
  </si>
  <si>
    <t>024-0032-18</t>
  </si>
  <si>
    <t>bradyadevan@gmail.com</t>
  </si>
  <si>
    <t>496-0048-18</t>
  </si>
  <si>
    <t>Coltsfan401970@yahoo.com</t>
  </si>
  <si>
    <t>008-0238-21</t>
  </si>
  <si>
    <t>dawnorvis66@gmail.com</t>
  </si>
  <si>
    <t>013-0207-18</t>
  </si>
  <si>
    <t>017-0008-17</t>
  </si>
  <si>
    <t>whitney.Lonning@gmail.com</t>
  </si>
  <si>
    <t>025-0040-21</t>
  </si>
  <si>
    <t>jennellesmith@i-35.k12.ia.us</t>
  </si>
  <si>
    <t>013-0134-21</t>
  </si>
  <si>
    <t>tcj5652@gmail.com</t>
  </si>
  <si>
    <t>026-0589-19</t>
  </si>
  <si>
    <t>melissafoster77@aol.com</t>
  </si>
  <si>
    <t>011-0485-19</t>
  </si>
  <si>
    <t>tristinN2003@gmail.com</t>
  </si>
  <si>
    <t>015-0286-15</t>
  </si>
  <si>
    <t>jennthorson1@gmail.com</t>
  </si>
  <si>
    <t>013-0311-19</t>
  </si>
  <si>
    <t>biederma262@dbqschools.org</t>
  </si>
  <si>
    <t>015-0169-18</t>
  </si>
  <si>
    <t>nickolle.blanchard@gmail.com</t>
  </si>
  <si>
    <t>026-0447-17</t>
  </si>
  <si>
    <t>tanzy.steele@gmail.com</t>
  </si>
  <si>
    <t>002-0023-13</t>
  </si>
  <si>
    <t>nickrambo1985@gmail.com</t>
  </si>
  <si>
    <t>026-0719-20</t>
  </si>
  <si>
    <t>ellen@kyhl.com</t>
  </si>
  <si>
    <t>093-0035-19</t>
  </si>
  <si>
    <t>hertgessarah@gmail.com</t>
  </si>
  <si>
    <t>003-0140-17</t>
  </si>
  <si>
    <t>skidmoremeg7@gmail.com</t>
  </si>
  <si>
    <t>026-0583-19</t>
  </si>
  <si>
    <t>naprak2@gmail.com</t>
  </si>
  <si>
    <t>024-0123-12</t>
  </si>
  <si>
    <t>laelatesdall@gmail.com</t>
  </si>
  <si>
    <t>026-0372-18</t>
  </si>
  <si>
    <t>meand3girlsus@yahoo.com</t>
  </si>
  <si>
    <t>332-0036-18</t>
  </si>
  <si>
    <t>hudsonbearcat15@gmail.com</t>
  </si>
  <si>
    <t>026-0107-18</t>
  </si>
  <si>
    <t>22144@student.southeastpolk.org</t>
  </si>
  <si>
    <t>004-0350-07</t>
  </si>
  <si>
    <t>debra.vinje@gmail.com</t>
  </si>
  <si>
    <t>013-0371-19</t>
  </si>
  <si>
    <t>tsthkalb@gmail.com</t>
  </si>
  <si>
    <t>002-0116-15</t>
  </si>
  <si>
    <t>msangster52@gmail.com</t>
  </si>
  <si>
    <t>011-0077-20</t>
  </si>
  <si>
    <t>beckybaker1970@yahoo.com</t>
  </si>
  <si>
    <t>026-0103-17</t>
  </si>
  <si>
    <t>evanbserves@gmail.com</t>
  </si>
  <si>
    <t>026-0089-14</t>
  </si>
  <si>
    <t>015-0006-22</t>
  </si>
  <si>
    <t>heizelmanmelissa84@gmail.com</t>
  </si>
  <si>
    <t>015-0231-19</t>
  </si>
  <si>
    <t>rjones133514@gmail.com</t>
  </si>
  <si>
    <t>026-0380-18</t>
  </si>
  <si>
    <t>joshuabristow64@gmail.com</t>
  </si>
  <si>
    <t>015-0344-20</t>
  </si>
  <si>
    <t>davidrock59@yahoo.com</t>
  </si>
  <si>
    <t>015-0341-20</t>
  </si>
  <si>
    <t>015-0222-21</t>
  </si>
  <si>
    <t>MiltonBlakewell@hotmail.com</t>
  </si>
  <si>
    <t>014-0098-20</t>
  </si>
  <si>
    <t>sheldon1413x@gmail.com</t>
  </si>
  <si>
    <t>002-0095-21</t>
  </si>
  <si>
    <t>481-0010-19</t>
  </si>
  <si>
    <t>009-0016-18</t>
  </si>
  <si>
    <t>janielynbaird@gmail.com</t>
  </si>
  <si>
    <t>024-0108-18</t>
  </si>
  <si>
    <t>ransomcharity@gmail.com</t>
  </si>
  <si>
    <t>015-0026-22</t>
  </si>
  <si>
    <t>chuckskelly351@gmail.com</t>
  </si>
  <si>
    <t>496-0048-17</t>
  </si>
  <si>
    <t>042-0009-19</t>
  </si>
  <si>
    <t>emily.wilson.bgm@gmail.com</t>
  </si>
  <si>
    <t>042-0139-21</t>
  </si>
  <si>
    <t>annhaskell59@gmail.com</t>
  </si>
  <si>
    <t>078-0119-18</t>
  </si>
  <si>
    <t>002-0035-19</t>
  </si>
  <si>
    <t>upt17@aol.com</t>
  </si>
  <si>
    <t>011-0078-21</t>
  </si>
  <si>
    <t>horn.jamie39@gmail.com</t>
  </si>
  <si>
    <t>017-0062-14</t>
  </si>
  <si>
    <t>dchicks1213@gmail.com</t>
  </si>
  <si>
    <t>011-0043-19</t>
  </si>
  <si>
    <t>453-0041-20</t>
  </si>
  <si>
    <t>blesfox999@gmail.com</t>
  </si>
  <si>
    <t>002-0240-18</t>
  </si>
  <si>
    <t>026-0276-17</t>
  </si>
  <si>
    <t>mwollenzien94@gmail.com</t>
  </si>
  <si>
    <t>011-0226-21</t>
  </si>
  <si>
    <t>catdix3@aol.com</t>
  </si>
  <si>
    <t>015-0194-19</t>
  </si>
  <si>
    <t>026-0400-19</t>
  </si>
  <si>
    <t>halleylivingston0503@gmail.com</t>
  </si>
  <si>
    <t>078-0041-20</t>
  </si>
  <si>
    <t>003-0149-19</t>
  </si>
  <si>
    <t>065-0049-19</t>
  </si>
  <si>
    <t>melvr@premieronline.net</t>
  </si>
  <si>
    <t>002-0368-20</t>
  </si>
  <si>
    <t>kinerry@gmail.com</t>
  </si>
  <si>
    <t>024-0170-19</t>
  </si>
  <si>
    <t>twistedthinkingco@gmail.com</t>
  </si>
  <si>
    <t>015-0072-19</t>
  </si>
  <si>
    <t>miguelangelvargasvazquez2019@yahoo.com</t>
  </si>
  <si>
    <t>026-0266-19</t>
  </si>
  <si>
    <t>diane@thedreys.com</t>
  </si>
  <si>
    <t>014-0388-20</t>
  </si>
  <si>
    <t>042-0043-17</t>
  </si>
  <si>
    <t>kbreckenridge01@gmail.com</t>
  </si>
  <si>
    <t>007-0294-20</t>
  </si>
  <si>
    <t>elsiemaesnyder@gmail.com</t>
  </si>
  <si>
    <t>006-0036-20</t>
  </si>
  <si>
    <t>007-0129-21</t>
  </si>
  <si>
    <t>008-0237-21</t>
  </si>
  <si>
    <t>026-0109-17</t>
  </si>
  <si>
    <t>sticky2436@gmail.com</t>
  </si>
  <si>
    <t>008-0544-20</t>
  </si>
  <si>
    <t>shelly.druckrey@yahoo.com</t>
  </si>
  <si>
    <t>001-0144-21</t>
  </si>
  <si>
    <t>calvinmaron123@gmail.com</t>
  </si>
  <si>
    <t>002-0124-20</t>
  </si>
  <si>
    <t>nbrunow@icloud.com</t>
  </si>
  <si>
    <t>006-0364-21</t>
  </si>
  <si>
    <t>llwaph77@gmail.com</t>
  </si>
  <si>
    <t>014-0155-17</t>
  </si>
  <si>
    <t>frieden1980@yahoo.com</t>
  </si>
  <si>
    <t>002-0119-19</t>
  </si>
  <si>
    <t>reb.pavlik@gmail.com</t>
  </si>
  <si>
    <t>093-0115-21</t>
  </si>
  <si>
    <t>jrbesabe63@gmail.com</t>
  </si>
  <si>
    <t>013-0355-21</t>
  </si>
  <si>
    <t>brandonweidemann8@gmail.com</t>
  </si>
  <si>
    <t>093-0100-12</t>
  </si>
  <si>
    <t>zubrodpenny63@gmail.com</t>
  </si>
  <si>
    <t>002-0113-19</t>
  </si>
  <si>
    <t>leaznbybobby127@gmail.com</t>
  </si>
  <si>
    <t>026-0511-17</t>
  </si>
  <si>
    <t>Fouts5@Q.com</t>
  </si>
  <si>
    <t>011-0106-20</t>
  </si>
  <si>
    <t>martinj0603@gmail.com</t>
  </si>
  <si>
    <t>026-0483-17</t>
  </si>
  <si>
    <t>025-0069-18</t>
  </si>
  <si>
    <t>korbinswank02@gmail.com</t>
  </si>
  <si>
    <t>015-0365-19</t>
  </si>
  <si>
    <t>carossiter84@gmail.com</t>
  </si>
  <si>
    <t>497-0047-16</t>
  </si>
  <si>
    <t>026-0292-21</t>
  </si>
  <si>
    <t>prettyaudra123@gmail.com</t>
  </si>
  <si>
    <t>065-0046-18</t>
  </si>
  <si>
    <t>009-0045-19</t>
  </si>
  <si>
    <t>jujdomoras@gmail.com</t>
  </si>
  <si>
    <t>009-0026-20</t>
  </si>
  <si>
    <t>phyllispetersen06@gmail.com</t>
  </si>
  <si>
    <t>042-0063-20</t>
  </si>
  <si>
    <t>keriswartzendruber46@gmail.com</t>
  </si>
  <si>
    <t>014-0002-19</t>
  </si>
  <si>
    <t>manarelboshari@hotmail.com</t>
  </si>
  <si>
    <t>093-0019-22</t>
  </si>
  <si>
    <t>demarcoeliggins@gmail.com</t>
  </si>
  <si>
    <t>005-0074-21</t>
  </si>
  <si>
    <t>042-0140-21</t>
  </si>
  <si>
    <t>cjroush@hotmail.com</t>
  </si>
  <si>
    <t>015-0118-19</t>
  </si>
  <si>
    <t>morgantuttle24@gmail.com</t>
  </si>
  <si>
    <t>026-0289-15</t>
  </si>
  <si>
    <t>tamara@cagle.co</t>
  </si>
  <si>
    <t>006-0160-21</t>
  </si>
  <si>
    <t>paulamorrison86@gmail.com</t>
  </si>
  <si>
    <t>001-0227-15</t>
  </si>
  <si>
    <t>013-0416-21</t>
  </si>
  <si>
    <t>adammiller0401@gmail.com</t>
  </si>
  <si>
    <t>011-0219-17</t>
  </si>
  <si>
    <t>ShanaLynn65@hotmail.com</t>
  </si>
  <si>
    <t>001-0089-17</t>
  </si>
  <si>
    <t>cadalikwu@yahoo.com</t>
  </si>
  <si>
    <t>008-0324-19</t>
  </si>
  <si>
    <t>aldinplays10@outlook.com</t>
  </si>
  <si>
    <t>001-0139-21</t>
  </si>
  <si>
    <t>legotad@gmail.com</t>
  </si>
  <si>
    <t>011-0262-19</t>
  </si>
  <si>
    <t>shayrand@hotmail.com</t>
  </si>
  <si>
    <t>007-0164-18</t>
  </si>
  <si>
    <t>likepantsallday@outlook.com</t>
  </si>
  <si>
    <t>013-0166-20</t>
  </si>
  <si>
    <t>rachaelstraka1@gmail.com</t>
  </si>
  <si>
    <t>005-0109-21</t>
  </si>
  <si>
    <t>015-0270-21</t>
  </si>
  <si>
    <t>dnwhtmr@gmail.com</t>
  </si>
  <si>
    <t>001-0173-14</t>
  </si>
  <si>
    <t>seth@iowapoultry.com</t>
  </si>
  <si>
    <t>007-0266-18</t>
  </si>
  <si>
    <t>garciaj23@live.siouxcityschools.com</t>
  </si>
  <si>
    <t>013-0047-20</t>
  </si>
  <si>
    <t>aidenlukes24@gmail.com</t>
  </si>
  <si>
    <t>026-0823-20</t>
  </si>
  <si>
    <t>ke44sa@gmail.com</t>
  </si>
  <si>
    <t>001-0056-18</t>
  </si>
  <si>
    <t>michellefields@cvchristian.org</t>
  </si>
  <si>
    <t>332-0047-19</t>
  </si>
  <si>
    <t>brittanywarner2001@gmail.com</t>
  </si>
  <si>
    <t>014-0243-04</t>
  </si>
  <si>
    <t>brian.walch85@gmail.com</t>
  </si>
  <si>
    <t>011-0249-18</t>
  </si>
  <si>
    <t>tjknotts@scciowa.edu</t>
  </si>
  <si>
    <t>042-0144-21</t>
  </si>
  <si>
    <t>almanckatherine@gmail.com</t>
  </si>
  <si>
    <t>042-0010-20</t>
  </si>
  <si>
    <t>svhayes@hotmail.com</t>
  </si>
  <si>
    <t>026-0317-19</t>
  </si>
  <si>
    <t>judyashe37@gmail.com</t>
  </si>
  <si>
    <t>024-0204-19</t>
  </si>
  <si>
    <t>tpoulias1@gmail.com</t>
  </si>
  <si>
    <t>571-0014-22</t>
  </si>
  <si>
    <t>026-0704-20</t>
  </si>
  <si>
    <t>sadboiroo@gmail.com</t>
  </si>
  <si>
    <t>078-0161-18</t>
  </si>
  <si>
    <t>clahr06@gmail.com</t>
  </si>
  <si>
    <t>026-0440-19</t>
  </si>
  <si>
    <t>jashaunsturgeon@gmail.com</t>
  </si>
  <si>
    <t>014-0083-21</t>
  </si>
  <si>
    <t>bardsleypatrick@gmail.com</t>
  </si>
  <si>
    <t>042-0117-17</t>
  </si>
  <si>
    <t>msicard@mediacombb.net</t>
  </si>
  <si>
    <t>001-0513-21</t>
  </si>
  <si>
    <t>renbrade@gmail.com</t>
  </si>
  <si>
    <t>002-0034-18</t>
  </si>
  <si>
    <t>026-0678-18</t>
  </si>
  <si>
    <t>015-0190-19</t>
  </si>
  <si>
    <t>wendelr@cspanthers.net</t>
  </si>
  <si>
    <t>015-0173-18</t>
  </si>
  <si>
    <t>jadancastorena27@gmail.com</t>
  </si>
  <si>
    <t>026-0433-21</t>
  </si>
  <si>
    <t>014-0070-21</t>
  </si>
  <si>
    <t>decker.jacque@gmail.com</t>
  </si>
  <si>
    <t>026-0583-20</t>
  </si>
  <si>
    <t>seanromore726@gmail.com</t>
  </si>
  <si>
    <t>011-0122-20</t>
  </si>
  <si>
    <t>jsccoconsultants@gmail.com</t>
  </si>
  <si>
    <t>008-0108-20</t>
  </si>
  <si>
    <t>bridgetmays1964@gmail.com</t>
  </si>
  <si>
    <t>013-0174-20</t>
  </si>
  <si>
    <t>davidwalkerd525@icloud.com</t>
  </si>
  <si>
    <t>006-0243-16</t>
  </si>
  <si>
    <t>cguffey1314@gmail.com</t>
  </si>
  <si>
    <t>015-0042-20</t>
  </si>
  <si>
    <t>014-0058-20</t>
  </si>
  <si>
    <t>aftonproudfit9@gmail.com</t>
  </si>
  <si>
    <t>001-0444-18</t>
  </si>
  <si>
    <t>mlserbousek@icloud.com</t>
  </si>
  <si>
    <t>007-0130-18</t>
  </si>
  <si>
    <t>014-0284-21</t>
  </si>
  <si>
    <t>bluegal.lady@gmail.com</t>
  </si>
  <si>
    <t>001-0376-08</t>
  </si>
  <si>
    <t>roddfoote2017@hotmail.com</t>
  </si>
  <si>
    <t>002-0015-17</t>
  </si>
  <si>
    <t>jkelly24.jk@gmail.com</t>
  </si>
  <si>
    <t>006-0055-19</t>
  </si>
  <si>
    <t>stanmchawes@gmail.com</t>
  </si>
  <si>
    <t>014-0169-19</t>
  </si>
  <si>
    <t>maxdras@gmail.com</t>
  </si>
  <si>
    <t>001-0233-20</t>
  </si>
  <si>
    <t>akuma19862005@gmail.com</t>
  </si>
  <si>
    <t>014-0347-14</t>
  </si>
  <si>
    <t>elias-roller@uiowa.edu</t>
  </si>
  <si>
    <t>006-0051-20</t>
  </si>
  <si>
    <t>nikoR2019@gmail.com</t>
  </si>
  <si>
    <t>001-0135-19</t>
  </si>
  <si>
    <t>serenitywindows@gmail.com</t>
  </si>
  <si>
    <t>001-0401-17</t>
  </si>
  <si>
    <t>teresa.religion@icloud.com</t>
  </si>
  <si>
    <t>011-0175-16</t>
  </si>
  <si>
    <t>insanelydarker@gmail.com</t>
  </si>
  <si>
    <t>001-0191-20</t>
  </si>
  <si>
    <t>jr0417779@gmail.com</t>
  </si>
  <si>
    <t>001-0229-18</t>
  </si>
  <si>
    <t>martin.barbi@gmail.com</t>
  </si>
  <si>
    <t>014-0030-14</t>
  </si>
  <si>
    <t>damien.jambor@gmail.com</t>
  </si>
  <si>
    <t>008-0066-17</t>
  </si>
  <si>
    <t>sydney.davis25@hawkeyecollege.edu</t>
  </si>
  <si>
    <t>453-0024-21</t>
  </si>
  <si>
    <t>kossiwa6@gmail.com</t>
  </si>
  <si>
    <t>026-0451-17</t>
  </si>
  <si>
    <t>diggydevil22334@gmail.com</t>
  </si>
  <si>
    <t>025-0084-20</t>
  </si>
  <si>
    <t>lilamayr20@gmail.com</t>
  </si>
  <si>
    <t>013-0176-19</t>
  </si>
  <si>
    <t>zach-fisher2@student.kirkwood.edu</t>
  </si>
  <si>
    <t>065-0023-20</t>
  </si>
  <si>
    <t>hulscjk@gmail.com</t>
  </si>
  <si>
    <t>497-0003-13</t>
  </si>
  <si>
    <t>hannah@ruthharbor.org</t>
  </si>
  <si>
    <t>026-0771-21</t>
  </si>
  <si>
    <t>mjjansen21@gmail.com</t>
  </si>
  <si>
    <t>013-0245-12</t>
  </si>
  <si>
    <t>weaselengelhardt9@gmail.com</t>
  </si>
  <si>
    <t>006-0233-17</t>
  </si>
  <si>
    <t>utoftsarah14@gmail.com</t>
  </si>
  <si>
    <t>002-0380-20</t>
  </si>
  <si>
    <t>ecampbell391@cbcsd.org</t>
  </si>
  <si>
    <t>011-0154-19</t>
  </si>
  <si>
    <t>zookeeper65@hotmail.com</t>
  </si>
  <si>
    <t>001-0422-18</t>
  </si>
  <si>
    <t>cfeuerbach2001@yahoo.com</t>
  </si>
  <si>
    <t>014-0161-21</t>
  </si>
  <si>
    <t>rcal@southslope.net</t>
  </si>
  <si>
    <t>453-0005-20</t>
  </si>
  <si>
    <t>jsabel@famres.org</t>
  </si>
  <si>
    <t>008-0422-21</t>
  </si>
  <si>
    <t>lostheart35@yahoo.com</t>
  </si>
  <si>
    <t>008-0211-19</t>
  </si>
  <si>
    <t>srjones77@icloud.com</t>
  </si>
  <si>
    <t>014-0055-17</t>
  </si>
  <si>
    <t>aicross2@aol.com</t>
  </si>
  <si>
    <t>092-0027-19</t>
  </si>
  <si>
    <t>micahchase69@gmail.com</t>
  </si>
  <si>
    <t>002-0077-15</t>
  </si>
  <si>
    <t>jmajercak742@gmail.com</t>
  </si>
  <si>
    <t>005-0078-20</t>
  </si>
  <si>
    <t>luczynskiwood@gmail.com</t>
  </si>
  <si>
    <t>003-0169-15</t>
  </si>
  <si>
    <t>R.Parrick2015@gmail.com</t>
  </si>
  <si>
    <t>015-0126-22</t>
  </si>
  <si>
    <t>BriarFuller@gmail.com</t>
  </si>
  <si>
    <t>026-0157-20</t>
  </si>
  <si>
    <t>009-0042-18</t>
  </si>
  <si>
    <t>brittanyjohnson9416@gmail.com</t>
  </si>
  <si>
    <t>008-0252-21</t>
  </si>
  <si>
    <t>008-0607-20</t>
  </si>
  <si>
    <t>maesickels28@gmail.com</t>
  </si>
  <si>
    <t>011-0056-16</t>
  </si>
  <si>
    <t>joypmack@gmail.com</t>
  </si>
  <si>
    <t>002-0213-18</t>
  </si>
  <si>
    <t>erik.jenkins1@gmail.com</t>
  </si>
  <si>
    <t>002-0229-18</t>
  </si>
  <si>
    <t>twiley1015@hotmail.com</t>
  </si>
  <si>
    <t>001-0391-19</t>
  </si>
  <si>
    <t>002-0177-17</t>
  </si>
  <si>
    <t>nathanweigel597@gmail.com</t>
  </si>
  <si>
    <t>015-0288-21</t>
  </si>
  <si>
    <t>mcgacres@gmail.com</t>
  </si>
  <si>
    <t>093-0031-20</t>
  </si>
  <si>
    <t>cullen721@gmail.com</t>
  </si>
  <si>
    <t>001-0758-18</t>
  </si>
  <si>
    <t>ablyness@gmail.com</t>
  </si>
  <si>
    <t>026-0832-21</t>
  </si>
  <si>
    <t>williamvance344@gmail.com</t>
  </si>
  <si>
    <t>011-0110-16</t>
  </si>
  <si>
    <t>nancymcgohan@gmail.com</t>
  </si>
  <si>
    <t>007-0274-17</t>
  </si>
  <si>
    <t>014-0019-16</t>
  </si>
  <si>
    <t>mmalloy17@gmail.com</t>
  </si>
  <si>
    <t>015-0054-19</t>
  </si>
  <si>
    <t>481-0024-15</t>
  </si>
  <si>
    <t>gayprince1998@gmail.com</t>
  </si>
  <si>
    <t>013-0056-21</t>
  </si>
  <si>
    <t>024-0051-21</t>
  </si>
  <si>
    <t>walterfamily5@msn.com</t>
  </si>
  <si>
    <t>014-0147-20</t>
  </si>
  <si>
    <t>madeline.hogan@sui.org</t>
  </si>
  <si>
    <t>015-0041-20</t>
  </si>
  <si>
    <t>453-0029-21</t>
  </si>
  <si>
    <t>bunnymikealson6@gmail.com</t>
  </si>
  <si>
    <t>026-0629-21</t>
  </si>
  <si>
    <t>lissapatt88@gmail.com</t>
  </si>
  <si>
    <t>013-0062-21</t>
  </si>
  <si>
    <t>trilk445@gmail.com</t>
  </si>
  <si>
    <t>024-0083-21</t>
  </si>
  <si>
    <t>jadennoah1999@gmail.com</t>
  </si>
  <si>
    <t>001-0670-20</t>
  </si>
  <si>
    <t>tamilynn_64@yahoo.com</t>
  </si>
  <si>
    <t>005-0194-20</t>
  </si>
  <si>
    <t>014-0364-18</t>
  </si>
  <si>
    <t>david-robertson@uiowa.edu</t>
  </si>
  <si>
    <t>026-0275-19</t>
  </si>
  <si>
    <t>malekalsadi1978@gmail.com</t>
  </si>
  <si>
    <t>007-0133-21</t>
  </si>
  <si>
    <t>msocknat@gmail.com</t>
  </si>
  <si>
    <t>015-0012-20</t>
  </si>
  <si>
    <t>paigehansen19@gmail.com</t>
  </si>
  <si>
    <t>026-0114-21</t>
  </si>
  <si>
    <t>vanholtondarick@gmail.com</t>
  </si>
  <si>
    <t>001-0617-20</t>
  </si>
  <si>
    <t>emily.anderson@thementornetwork.com</t>
  </si>
  <si>
    <t>015-0058-19</t>
  </si>
  <si>
    <t>026-0056-21</t>
  </si>
  <si>
    <t>aurco61@gmail.com</t>
  </si>
  <si>
    <t>026-0796-21</t>
  </si>
  <si>
    <t>austinreed1569@gmail.com</t>
  </si>
  <si>
    <t>332-0100-20</t>
  </si>
  <si>
    <t>rigsby1990@gmail.com</t>
  </si>
  <si>
    <t>015-0337-19</t>
  </si>
  <si>
    <t>timgobeli1@gmail.com</t>
  </si>
  <si>
    <t>042-0137-21</t>
  </si>
  <si>
    <t>katiereed567@gmail.com</t>
  </si>
  <si>
    <t>001-0474-18</t>
  </si>
  <si>
    <t>travisfishel02@gmail.com</t>
  </si>
  <si>
    <t>078-0086-21</t>
  </si>
  <si>
    <t>addiegirl67.mh@gmail.com</t>
  </si>
  <si>
    <t>024-0191-17</t>
  </si>
  <si>
    <t>jcg8996@gmail.com</t>
  </si>
  <si>
    <t>001-0069-18</t>
  </si>
  <si>
    <t>moehlman6@yahoo.com</t>
  </si>
  <si>
    <t>006-0020-18</t>
  </si>
  <si>
    <t>nn8697906@gmail.com</t>
  </si>
  <si>
    <t>065-0015-20</t>
  </si>
  <si>
    <t>kyle_heem20@hotmail.com</t>
  </si>
  <si>
    <t>026-0076-19</t>
  </si>
  <si>
    <t>terrell.lamotte01@gmail.com</t>
  </si>
  <si>
    <t>006-0230-17</t>
  </si>
  <si>
    <t>570-0011-14</t>
  </si>
  <si>
    <t>k.aijala@iw.edu</t>
  </si>
  <si>
    <t>013-0201-21</t>
  </si>
  <si>
    <t>001-0232-12</t>
  </si>
  <si>
    <t>btaylor1232003@yahoo.com</t>
  </si>
  <si>
    <t>008-0443-17</t>
  </si>
  <si>
    <t>deerehunt1@aol.com</t>
  </si>
  <si>
    <t>065-0115-21</t>
  </si>
  <si>
    <t>mattbush30@gmail.com</t>
  </si>
  <si>
    <t>014-0247-18</t>
  </si>
  <si>
    <t>pressfc@msn.com</t>
  </si>
  <si>
    <t>013-0088-22</t>
  </si>
  <si>
    <t>gwendolynhunt72@gmail.com</t>
  </si>
  <si>
    <t>093-0124-18</t>
  </si>
  <si>
    <t>danielspilde@yahoo.com</t>
  </si>
  <si>
    <t>007-0086-21</t>
  </si>
  <si>
    <t>taykeesydmic1980@gmail.com</t>
  </si>
  <si>
    <t>013-0036-20</t>
  </si>
  <si>
    <t>013-0127-13</t>
  </si>
  <si>
    <t>elizabethmarieroach@gmail.com</t>
  </si>
  <si>
    <t>013-0113-19</t>
  </si>
  <si>
    <t>Brad.Marugg@aol.com</t>
  </si>
  <si>
    <t>026-0135-18</t>
  </si>
  <si>
    <t>kellyh@hensleysbigandtall.com</t>
  </si>
  <si>
    <t>001-0491-21</t>
  </si>
  <si>
    <t>042-0144-17</t>
  </si>
  <si>
    <t>001-0051-18</t>
  </si>
  <si>
    <t>schulte300@gmail.com</t>
  </si>
  <si>
    <t>006-0317-21</t>
  </si>
  <si>
    <t>lahartc@iowatelecom.net</t>
  </si>
  <si>
    <t>014-0116-21</t>
  </si>
  <si>
    <t>brittneyshireman@gmail.com</t>
  </si>
  <si>
    <t>008-0304-07</t>
  </si>
  <si>
    <t>generator17500w@yahoo.com</t>
  </si>
  <si>
    <t>009-0075-21</t>
  </si>
  <si>
    <t>ajohnson3210@gmail.com</t>
  </si>
  <si>
    <t>014-0081-20</t>
  </si>
  <si>
    <t>daytonanderson76@gmail.com</t>
  </si>
  <si>
    <t>003-0317-21</t>
  </si>
  <si>
    <t>skealey2@gmail.com</t>
  </si>
  <si>
    <t>014-0369-18</t>
  </si>
  <si>
    <t>valstonmario@mail.com</t>
  </si>
  <si>
    <t>017-0076-14</t>
  </si>
  <si>
    <t>briannal@iastate.edu</t>
  </si>
  <si>
    <t>453-0043-21</t>
  </si>
  <si>
    <t>svoelker@hotmail.com</t>
  </si>
  <si>
    <t>006-0082-20</t>
  </si>
  <si>
    <t>gannonsteffen@live.com</t>
  </si>
  <si>
    <t>026-0237-19</t>
  </si>
  <si>
    <t>matthewrisinger46@gmail.com</t>
  </si>
  <si>
    <t>042-0048-17</t>
  </si>
  <si>
    <t>008-0194-19</t>
  </si>
  <si>
    <t>Brian.Jacobson82@gmail.com</t>
  </si>
  <si>
    <t>026-0121-20</t>
  </si>
  <si>
    <t>elizabeth.rydberg@gmail.com</t>
  </si>
  <si>
    <t>001-0495-19</t>
  </si>
  <si>
    <t>abjojohnson@gmail.com</t>
  </si>
  <si>
    <t>011-0096-21</t>
  </si>
  <si>
    <t>peggyhirte1@gmail.com</t>
  </si>
  <si>
    <t>014-0101-19</t>
  </si>
  <si>
    <t>026-0170-19</t>
  </si>
  <si>
    <t>chmcd5050@gmail.com</t>
  </si>
  <si>
    <t>002-0193-18</t>
  </si>
  <si>
    <t>gracenls@aol.com</t>
  </si>
  <si>
    <t>015-0035-21</t>
  </si>
  <si>
    <t>colonelsbluff@gmail.com</t>
  </si>
  <si>
    <t>026-0590-18</t>
  </si>
  <si>
    <t>mark.mast@mchsi.com</t>
  </si>
  <si>
    <t>001-0381-18</t>
  </si>
  <si>
    <t>20kehert@marion-isd.org</t>
  </si>
  <si>
    <t>078-0083-19</t>
  </si>
  <si>
    <t>026-0203-18</t>
  </si>
  <si>
    <t>coltonredacted@gmail.com</t>
  </si>
  <si>
    <t>099-0049-21</t>
  </si>
  <si>
    <t>495-0008-16</t>
  </si>
  <si>
    <t>tlhanna3020@gmail.com</t>
  </si>
  <si>
    <t>092-0041-15</t>
  </si>
  <si>
    <t>lmcpherren11@gmail.com</t>
  </si>
  <si>
    <t>042-0048-21</t>
  </si>
  <si>
    <t>498-0008-10</t>
  </si>
  <si>
    <t>baldwinmarkie@yahoo.com</t>
  </si>
  <si>
    <t>007-0285-20</t>
  </si>
  <si>
    <t>001-0424-17</t>
  </si>
  <si>
    <t>mlinville15@gmail.com</t>
  </si>
  <si>
    <t>002-0071-19</t>
  </si>
  <si>
    <t>ameador100@gmail.com</t>
  </si>
  <si>
    <t>042-0086-20</t>
  </si>
  <si>
    <t>amberbuchanan003@gmail.com</t>
  </si>
  <si>
    <t>006-0146-20</t>
  </si>
  <si>
    <t>katherynlachapelle@gmail.com</t>
  </si>
  <si>
    <t>026-0219-22</t>
  </si>
  <si>
    <t>485-0054-19</t>
  </si>
  <si>
    <t>042-0126-21</t>
  </si>
  <si>
    <t>sredenius5@gmail.com</t>
  </si>
  <si>
    <t>008-0401-21</t>
  </si>
  <si>
    <t>j-carty@unionk12.ia.us</t>
  </si>
  <si>
    <t>001-0128-20</t>
  </si>
  <si>
    <t>MrCactusi@hotmail.com</t>
  </si>
  <si>
    <t>014-0126-21</t>
  </si>
  <si>
    <t>Andyshilling36@gmail.com</t>
  </si>
  <si>
    <t>332-0037-18</t>
  </si>
  <si>
    <t>andrewh2018@yahoo.com</t>
  </si>
  <si>
    <t>005-0028-18</t>
  </si>
  <si>
    <t>015-0001-21</t>
  </si>
  <si>
    <t>cajkmom4@gmail.com</t>
  </si>
  <si>
    <t>025-0036-15</t>
  </si>
  <si>
    <t>013-0041-22</t>
  </si>
  <si>
    <t>donnadeandean56@gmail.com</t>
  </si>
  <si>
    <t>007-0329-17</t>
  </si>
  <si>
    <t>marciaspurs21@yahoo.com</t>
  </si>
  <si>
    <t>093-0046-22</t>
  </si>
  <si>
    <t>014-0018-20</t>
  </si>
  <si>
    <t>065-0106-21</t>
  </si>
  <si>
    <t>chaos@premieronline.net</t>
  </si>
  <si>
    <t>006-0176-20</t>
  </si>
  <si>
    <t>017-0045-16</t>
  </si>
  <si>
    <t>adams.conner.j.c@gmail.com</t>
  </si>
  <si>
    <t>042-0021-20</t>
  </si>
  <si>
    <t>xbernal40@gmail.com</t>
  </si>
  <si>
    <t>014-0358-17</t>
  </si>
  <si>
    <t>026-0645-19</t>
  </si>
  <si>
    <t>gbaleyalexline@gmail.com</t>
  </si>
  <si>
    <t>002-0191-18</t>
  </si>
  <si>
    <t>tatumclingenpeel@gmail.com</t>
  </si>
  <si>
    <t>011-0183-21</t>
  </si>
  <si>
    <t>005-0060-18</t>
  </si>
  <si>
    <t>001-0267-18</t>
  </si>
  <si>
    <t>greenaaron00@gmail.com</t>
  </si>
  <si>
    <t>024-0024-19</t>
  </si>
  <si>
    <t>008-0122-20</t>
  </si>
  <si>
    <t>ettabast@yahoo.com</t>
  </si>
  <si>
    <t>006-0058-22</t>
  </si>
  <si>
    <t>015-0140-20</t>
  </si>
  <si>
    <t>002-0055-21</t>
  </si>
  <si>
    <t>aaronchaney27@gmail.com</t>
  </si>
  <si>
    <t>001-0631-21</t>
  </si>
  <si>
    <t>noackkurt@aol.com</t>
  </si>
  <si>
    <t>015-0037-20</t>
  </si>
  <si>
    <t>332-0019-20</t>
  </si>
  <si>
    <t>rvanderhoof27@icloud.com</t>
  </si>
  <si>
    <t>001-0073-14</t>
  </si>
  <si>
    <t>Pokemon_zap@aol.com</t>
  </si>
  <si>
    <t>013-0203-19</t>
  </si>
  <si>
    <t>olsonbevin@gmail.com</t>
  </si>
  <si>
    <t>025-0057-16</t>
  </si>
  <si>
    <t>zachariahbarris@gmail.com</t>
  </si>
  <si>
    <t>042-0053-15</t>
  </si>
  <si>
    <t>jeff.knight@yahoo.com</t>
  </si>
  <si>
    <t>026-0323-18</t>
  </si>
  <si>
    <t>kittyluvr4evr28@aol.com</t>
  </si>
  <si>
    <t>011-0207-13</t>
  </si>
  <si>
    <t>francissarah1897@gmail.com</t>
  </si>
  <si>
    <t>042-0230-20</t>
  </si>
  <si>
    <t>cedanley@live.com</t>
  </si>
  <si>
    <t>092-0012-18</t>
  </si>
  <si>
    <t>011-0237-18</t>
  </si>
  <si>
    <t>026-0278-20</t>
  </si>
  <si>
    <t>juanmlopez351@gmail.com</t>
  </si>
  <si>
    <t>026-0129-21</t>
  </si>
  <si>
    <t>Kellibutton24@gmail.com</t>
  </si>
  <si>
    <t>042-0023-21</t>
  </si>
  <si>
    <t>wprinceca@gmail.com</t>
  </si>
  <si>
    <t>014-0205-21</t>
  </si>
  <si>
    <t>jhaarsma@fouroaks.org</t>
  </si>
  <si>
    <t>013-0030-20</t>
  </si>
  <si>
    <t>corissa.konichek14@gmail.com</t>
  </si>
  <si>
    <t>099-0020-17</t>
  </si>
  <si>
    <t>013-0044-21</t>
  </si>
  <si>
    <t>patrick.dolehide11@gmail.com</t>
  </si>
  <si>
    <t>008-0377-21</t>
  </si>
  <si>
    <t>atoles1967@gmail.com</t>
  </si>
  <si>
    <t>008-0105-21</t>
  </si>
  <si>
    <t>marquisematlock23@gmail.com</t>
  </si>
  <si>
    <t>014-0243-21</t>
  </si>
  <si>
    <t>whoeverwinsgetsacookie@gmail.com</t>
  </si>
  <si>
    <t>042-0078-20</t>
  </si>
  <si>
    <t>seannenleavy2001@gmail.com</t>
  </si>
  <si>
    <t>099-0038-18</t>
  </si>
  <si>
    <t>571-0025-20</t>
  </si>
  <si>
    <t>015-0359-19</t>
  </si>
  <si>
    <t>talbotthomas508@gmail.com</t>
  </si>
  <si>
    <t>009-0032-21</t>
  </si>
  <si>
    <t>hugheskaycee8@gmail.com</t>
  </si>
  <si>
    <t>011-0008-18</t>
  </si>
  <si>
    <t>pagosa@iowatelecom.net</t>
  </si>
  <si>
    <t>011-0238-20</t>
  </si>
  <si>
    <t>pamesler@hotmail.com</t>
  </si>
  <si>
    <t>481-0019-18</t>
  </si>
  <si>
    <t>481-0019-17</t>
  </si>
  <si>
    <t>007-0111-18</t>
  </si>
  <si>
    <t>026-0831-21</t>
  </si>
  <si>
    <t>shonecc@yahoo.com</t>
  </si>
  <si>
    <t>008-0031-18</t>
  </si>
  <si>
    <t>dylanbooms@gmail.com</t>
  </si>
  <si>
    <t>026-0151-22</t>
  </si>
  <si>
    <t>daqua54@gmail.com</t>
  </si>
  <si>
    <t>006-0468-19</t>
  </si>
  <si>
    <t>024-0077-17</t>
  </si>
  <si>
    <t>014-0367-18</t>
  </si>
  <si>
    <t>ashryzainelabdin@gmail.com</t>
  </si>
  <si>
    <t>026-0266-20</t>
  </si>
  <si>
    <t>008-0191-16</t>
  </si>
  <si>
    <t>026-0229-14</t>
  </si>
  <si>
    <t>taha.albayati@gmail.com</t>
  </si>
  <si>
    <t>026-0634-21</t>
  </si>
  <si>
    <t>kellis.shelby@aol.com</t>
  </si>
  <si>
    <t>014-0002-20</t>
  </si>
  <si>
    <t>asuncion.fuentes.313@gmail.com</t>
  </si>
  <si>
    <t>001-0459-19</t>
  </si>
  <si>
    <t>melindaswiftbird75@gmail.com</t>
  </si>
  <si>
    <t>005-0130-22</t>
  </si>
  <si>
    <t>aswalla@iastate.edu</t>
  </si>
  <si>
    <t>015-0019-21</t>
  </si>
  <si>
    <t>dserush@msn.com</t>
  </si>
  <si>
    <t>014-0055-19</t>
  </si>
  <si>
    <t>ctimothy72@gmail.com</t>
  </si>
  <si>
    <t>026-0079-15</t>
  </si>
  <si>
    <t>tmbsheehy@yahoo.com</t>
  </si>
  <si>
    <t>001-0250-18</t>
  </si>
  <si>
    <t>006-0063-18</t>
  </si>
  <si>
    <t>0ct212k18@gmail.com</t>
  </si>
  <si>
    <t>002-0030-20</t>
  </si>
  <si>
    <t>a.a.wilson9334@gmail.com</t>
  </si>
  <si>
    <t>014-0003-20</t>
  </si>
  <si>
    <t>greenhazel53@yahoo.com</t>
  </si>
  <si>
    <t>003-0053-19</t>
  </si>
  <si>
    <t>marjorie.woods@gmail.com</t>
  </si>
  <si>
    <t>001-0448-21</t>
  </si>
  <si>
    <t>001-0338-21</t>
  </si>
  <si>
    <t>026-0758-20</t>
  </si>
  <si>
    <t>jward35263@cloud.com</t>
  </si>
  <si>
    <t>003-0340-21</t>
  </si>
  <si>
    <t>gennett.major@yahoo.com</t>
  </si>
  <si>
    <t>571-0031-22</t>
  </si>
  <si>
    <t>cm_mayne@yahoo.com</t>
  </si>
  <si>
    <t>026-0635-17</t>
  </si>
  <si>
    <t>masongals@msn.com</t>
  </si>
  <si>
    <t>332-0051-21</t>
  </si>
  <si>
    <t>jenningshunter33@gmail.com</t>
  </si>
  <si>
    <t>003-0070-19</t>
  </si>
  <si>
    <t>lynnz.jones97@gmail.com</t>
  </si>
  <si>
    <t>332-0058-17</t>
  </si>
  <si>
    <t>tthompson32@dmacc.edu</t>
  </si>
  <si>
    <t>017-0017-14</t>
  </si>
  <si>
    <t>akirademoss@gmail.com</t>
  </si>
  <si>
    <t>025-0025-17</t>
  </si>
  <si>
    <t>sbean373@gmail.com</t>
  </si>
  <si>
    <t>001-0669-19</t>
  </si>
  <si>
    <t>natalienissen9@gmail.com</t>
  </si>
  <si>
    <t>026-0237-21</t>
  </si>
  <si>
    <t>saparmer01@gmail.com</t>
  </si>
  <si>
    <t>065-0068-20</t>
  </si>
  <si>
    <t>nickmordick212@gmail.com</t>
  </si>
  <si>
    <t>013-0029-16</t>
  </si>
  <si>
    <t>lccosley@gmail.com</t>
  </si>
  <si>
    <t>007-0020-19</t>
  </si>
  <si>
    <t>xasmodean@gmail.com</t>
  </si>
  <si>
    <t>007-0102-20</t>
  </si>
  <si>
    <t>martha.johnston04@gmail.com</t>
  </si>
  <si>
    <t>026-0740-20</t>
  </si>
  <si>
    <t>tlclements7@gmail.com</t>
  </si>
  <si>
    <t>001-0170-19</t>
  </si>
  <si>
    <t>013-0140-17</t>
  </si>
  <si>
    <t>haylockgrant@gmail.com</t>
  </si>
  <si>
    <t>007-0283-20</t>
  </si>
  <si>
    <t>002-0096-21</t>
  </si>
  <si>
    <t>borgailaj27@gmail.com</t>
  </si>
  <si>
    <t>014-0032-19</t>
  </si>
  <si>
    <t>kennedyslagel@hotmail.com</t>
  </si>
  <si>
    <t>007-0320-20</t>
  </si>
  <si>
    <t>014-0136-17</t>
  </si>
  <si>
    <t>008-0449-20</t>
  </si>
  <si>
    <t>lexilee2001@gmail.com</t>
  </si>
  <si>
    <t>007-0187-17</t>
  </si>
  <si>
    <t>k.schoeller@yahoo.com</t>
  </si>
  <si>
    <t>453-0036-20</t>
  </si>
  <si>
    <t>es116173@mcsdonline.org</t>
  </si>
  <si>
    <t>001-0080-20</t>
  </si>
  <si>
    <t>22nbrewer@crschools.us</t>
  </si>
  <si>
    <t>006-0289-19</t>
  </si>
  <si>
    <t>001-0520-21</t>
  </si>
  <si>
    <t>schneidertheatre@gmail.com</t>
  </si>
  <si>
    <t>042-0076-18</t>
  </si>
  <si>
    <t>natedepruitt@gmail.com</t>
  </si>
  <si>
    <t>015-0023-22</t>
  </si>
  <si>
    <t>super1996olds@gmail.com</t>
  </si>
  <si>
    <t>014-0201-21</t>
  </si>
  <si>
    <t>026-0067-21</t>
  </si>
  <si>
    <t>ayala55670@gmail.com</t>
  </si>
  <si>
    <t>481-0060-20</t>
  </si>
  <si>
    <t>vickilebanousky63@yahoo.com</t>
  </si>
  <si>
    <t>024-0041-20</t>
  </si>
  <si>
    <t>nickfrench8245@gmail.com</t>
  </si>
  <si>
    <t>015-0274-21</t>
  </si>
  <si>
    <t>dadgrillo359@gmail.com</t>
  </si>
  <si>
    <t>001-0067-19</t>
  </si>
  <si>
    <t>dawncheri42@gmail.com</t>
  </si>
  <si>
    <t>001-0287-18</t>
  </si>
  <si>
    <t>cindy.kilburg25@gmail.com</t>
  </si>
  <si>
    <t>099-0024-17</t>
  </si>
  <si>
    <t>c5keithb@yahoo.com</t>
  </si>
  <si>
    <t>006-0029-22</t>
  </si>
  <si>
    <t>heathermantell1973@gmail.com</t>
  </si>
  <si>
    <t>026-0490-21</t>
  </si>
  <si>
    <t>kristireed2@hotmail.com</t>
  </si>
  <si>
    <t>001-0177-21</t>
  </si>
  <si>
    <t>jpenguins@fmtcs.com</t>
  </si>
  <si>
    <t>014-0176-16</t>
  </si>
  <si>
    <t>mastersrn561@gmail.com</t>
  </si>
  <si>
    <t>011-0004-20</t>
  </si>
  <si>
    <t>weland58@gmail.com</t>
  </si>
  <si>
    <t>026-0427-21</t>
  </si>
  <si>
    <t>thehills7@yahoo.com</t>
  </si>
  <si>
    <t>001-0155-17</t>
  </si>
  <si>
    <t>onepunchcory@gmail.com</t>
  </si>
  <si>
    <t>015-0156-22</t>
  </si>
  <si>
    <t>tammyfrank40@gmail.com</t>
  </si>
  <si>
    <t>008-0281-18</t>
  </si>
  <si>
    <t>ryan.king17@hawkeyecollege.edu</t>
  </si>
  <si>
    <t>042-0154-17</t>
  </si>
  <si>
    <t>raymondflorke@gmail.com</t>
  </si>
  <si>
    <t>008-0052-20</t>
  </si>
  <si>
    <t>bekkajreams@gmail.com</t>
  </si>
  <si>
    <t>007-0001-17</t>
  </si>
  <si>
    <t>jjbruening@siouxlan.net</t>
  </si>
  <si>
    <t>025-0040-20</t>
  </si>
  <si>
    <t>jsteffen30.js@gmail.com</t>
  </si>
  <si>
    <t>481-0023-19</t>
  </si>
  <si>
    <t>noltekalee455@gmail.com</t>
  </si>
  <si>
    <t>001-0318-21</t>
  </si>
  <si>
    <t>001-0696-21</t>
  </si>
  <si>
    <t>002-0085-19</t>
  </si>
  <si>
    <t>twiztidmechanic21@gmail.com</t>
  </si>
  <si>
    <t>001-0724-17</t>
  </si>
  <si>
    <t>stonehodges15@gmail.com</t>
  </si>
  <si>
    <t>024-0062-22</t>
  </si>
  <si>
    <t>kgreene@gmail.com</t>
  </si>
  <si>
    <t>014-0024-19</t>
  </si>
  <si>
    <t>schuppmike07@gmail.com</t>
  </si>
  <si>
    <t>014-0345-17</t>
  </si>
  <si>
    <t>001-0026-19</t>
  </si>
  <si>
    <t>gjkay82607@gmail.com</t>
  </si>
  <si>
    <t>015-0267-21</t>
  </si>
  <si>
    <t>kcarter0780@gmail.com</t>
  </si>
  <si>
    <t>481-0042-18</t>
  </si>
  <si>
    <t>trevorsimms@live.com</t>
  </si>
  <si>
    <t>065-0026-16</t>
  </si>
  <si>
    <t>026-0070-19</t>
  </si>
  <si>
    <t>tracylnissen@yahoo.com</t>
  </si>
  <si>
    <t>011-0145-20</t>
  </si>
  <si>
    <t>ehlerss235@gmail.com</t>
  </si>
  <si>
    <t>001-0070-20</t>
  </si>
  <si>
    <t>patrishasesker@gmail.com</t>
  </si>
  <si>
    <t>571-0016-22</t>
  </si>
  <si>
    <t>depyper@rvtc.net</t>
  </si>
  <si>
    <t>026-0026-21</t>
  </si>
  <si>
    <t>006-0304-21</t>
  </si>
  <si>
    <t>paige.danner@rocketsk12.org</t>
  </si>
  <si>
    <t>026-0016-19</t>
  </si>
  <si>
    <t>nascargirlheat@gmail.com</t>
  </si>
  <si>
    <t>003-0259-21</t>
  </si>
  <si>
    <t>rcoursey@palmspringsbottledwater.com</t>
  </si>
  <si>
    <t>017-0013-16</t>
  </si>
  <si>
    <t>camillabarshinger@gmail.com</t>
  </si>
  <si>
    <t>001-0138-20</t>
  </si>
  <si>
    <t>dereck.flickinger@gmail.com</t>
  </si>
  <si>
    <t>026-0194-16</t>
  </si>
  <si>
    <t>srosse2@gmail.com</t>
  </si>
  <si>
    <t>003-0025-18</t>
  </si>
  <si>
    <t>danlyngholm1@gmail.com</t>
  </si>
  <si>
    <t>009-0079-21</t>
  </si>
  <si>
    <t>burnskellie17@gmail.com</t>
  </si>
  <si>
    <t>001-0634-21</t>
  </si>
  <si>
    <t>011-0034-21</t>
  </si>
  <si>
    <t>carlsonb@mepoedu.org</t>
  </si>
  <si>
    <t>001-0058-19</t>
  </si>
  <si>
    <t>quintondommer@gmail.com</t>
  </si>
  <si>
    <t>002-0114-21</t>
  </si>
  <si>
    <t>014-0047-18</t>
  </si>
  <si>
    <t>livhunt7@gmail.com</t>
  </si>
  <si>
    <t>001-0110-18</t>
  </si>
  <si>
    <t>015-0052-19</t>
  </si>
  <si>
    <t>drukskel@icloud.com</t>
  </si>
  <si>
    <t>011-0149-18</t>
  </si>
  <si>
    <t>jesseparish14@gmail.com</t>
  </si>
  <si>
    <t>026-0667-18</t>
  </si>
  <si>
    <t>adrianparamo3@gmail.com</t>
  </si>
  <si>
    <t>485-0021-20</t>
  </si>
  <si>
    <t>dakeseliam27@gmail.com</t>
  </si>
  <si>
    <t>013-0279-18</t>
  </si>
  <si>
    <t>miraclefinn10@gmail.com</t>
  </si>
  <si>
    <t>008-0348-19</t>
  </si>
  <si>
    <t>gordonallison40@gmail.com</t>
  </si>
  <si>
    <t>011-0148-21</t>
  </si>
  <si>
    <t>sam.c.getz@gmail.com</t>
  </si>
  <si>
    <t>026-0396-18</t>
  </si>
  <si>
    <t>570-0013-16</t>
  </si>
  <si>
    <t>brent.strawhacker@gmail.com</t>
  </si>
  <si>
    <t>009-0037-16</t>
  </si>
  <si>
    <t>19tawill@gmail.com</t>
  </si>
  <si>
    <t>014-0135-21</t>
  </si>
  <si>
    <t>horaj34@gmail.com</t>
  </si>
  <si>
    <t>042-0130-17</t>
  </si>
  <si>
    <t>julmil65@gmail.com</t>
  </si>
  <si>
    <t>008-0359-21</t>
  </si>
  <si>
    <t>ronandresen62@gmail.com</t>
  </si>
  <si>
    <t>006-0031-20</t>
  </si>
  <si>
    <t>kellow107615@indianola.k12.ia.us</t>
  </si>
  <si>
    <t>026-0682-18</t>
  </si>
  <si>
    <t>acgwennap@gmail.com</t>
  </si>
  <si>
    <t>078-0005-20</t>
  </si>
  <si>
    <t>lucia.daniela23@gmail.com</t>
  </si>
  <si>
    <t>007-0198-18</t>
  </si>
  <si>
    <t>lolark@yahoo.com</t>
  </si>
  <si>
    <t>011-0123-18</t>
  </si>
  <si>
    <t>lemon.chey69@gmail.com</t>
  </si>
  <si>
    <t>014-0186-13</t>
  </si>
  <si>
    <t>dblack@allenmitchellcta.com</t>
  </si>
  <si>
    <t>453-0058-21</t>
  </si>
  <si>
    <t>theglobdon@gmail.com</t>
  </si>
  <si>
    <t>026-0086-21</t>
  </si>
  <si>
    <t>007-0011-18</t>
  </si>
  <si>
    <t>cjbjmill@gmail.com</t>
  </si>
  <si>
    <t>024-0110-17</t>
  </si>
  <si>
    <t>jonathanreddick2013@gmail.com</t>
  </si>
  <si>
    <t>026-0013-06</t>
  </si>
  <si>
    <t>casadelsun@msn.com</t>
  </si>
  <si>
    <t>003-0057-20</t>
  </si>
  <si>
    <t>alex_manning45@yahoo.com</t>
  </si>
  <si>
    <t>007-0129-17</t>
  </si>
  <si>
    <t>008-0232-19</t>
  </si>
  <si>
    <t>nglishmaj@yahoo.com</t>
  </si>
  <si>
    <t>560-0002-18</t>
  </si>
  <si>
    <t>nathan.lusk.is@gmail.com</t>
  </si>
  <si>
    <t>014-0257-19</t>
  </si>
  <si>
    <t>lisa.larosa@outlook.com</t>
  </si>
  <si>
    <t>011-0130-16</t>
  </si>
  <si>
    <t>Tmaestro.tm@gmail.com</t>
  </si>
  <si>
    <t>013-0392-21</t>
  </si>
  <si>
    <t>026-0357-22</t>
  </si>
  <si>
    <t>umholtzjacqueline@gmail.com</t>
  </si>
  <si>
    <t>026-0403-22</t>
  </si>
  <si>
    <t>rudedog256@gmail.com</t>
  </si>
  <si>
    <t>013-0039-20</t>
  </si>
  <si>
    <t>larue60@aol.com</t>
  </si>
  <si>
    <t>014-0261-21</t>
  </si>
  <si>
    <t>Jessica Sylte</t>
  </si>
  <si>
    <t>rosedenny@aol.com</t>
  </si>
  <si>
    <t>001-0325-19</t>
  </si>
  <si>
    <t>micahmelter@gmail.com</t>
  </si>
  <si>
    <t>001-0192-18</t>
  </si>
  <si>
    <t>dakotadippel@icloud.com</t>
  </si>
  <si>
    <t>026-0087-18</t>
  </si>
  <si>
    <t>leabow57@gmail.com</t>
  </si>
  <si>
    <t>026-0202-16</t>
  </si>
  <si>
    <t>bradjohnson104@gmail.com</t>
  </si>
  <si>
    <t>065-0088-21</t>
  </si>
  <si>
    <t>terryhev@hotmail.com</t>
  </si>
  <si>
    <t>008-0088-19</t>
  </si>
  <si>
    <t>brookebowers19@gmail.com</t>
  </si>
  <si>
    <t>042-0169-20</t>
  </si>
  <si>
    <t>nicholsb1155@gmail.com</t>
  </si>
  <si>
    <t>001-0270-21</t>
  </si>
  <si>
    <t>redbonemel@aol.com</t>
  </si>
  <si>
    <t>006-0137-19</t>
  </si>
  <si>
    <t>007-0031-20</t>
  </si>
  <si>
    <t>morrisonbrenda900@gmail.com</t>
  </si>
  <si>
    <t>008-0321-21</t>
  </si>
  <si>
    <t>avs4dice@gmail.com</t>
  </si>
  <si>
    <t>026-0492-15</t>
  </si>
  <si>
    <t>guntherlaibach@gmail.com</t>
  </si>
  <si>
    <t>001-0371-21</t>
  </si>
  <si>
    <t>brechtelelena@gmail.com</t>
  </si>
  <si>
    <t>013-0230-20</t>
  </si>
  <si>
    <t>026-0301-19</t>
  </si>
  <si>
    <t>msmith1136@gmail.com</t>
  </si>
  <si>
    <t>014-0258-18</t>
  </si>
  <si>
    <t>business50kyle@gmail.com</t>
  </si>
  <si>
    <t>002-0205-18</t>
  </si>
  <si>
    <t>ShadowZero925@gmail.com</t>
  </si>
  <si>
    <t>001-0085-20</t>
  </si>
  <si>
    <t>111nocth@gmail.com</t>
  </si>
  <si>
    <t>003-0175-21</t>
  </si>
  <si>
    <t>ahaileselassie7459@gmail.com</t>
  </si>
  <si>
    <t>078-0011-21</t>
  </si>
  <si>
    <t>mercedesvargas24@gmail.com</t>
  </si>
  <si>
    <t>024-0070-20</t>
  </si>
  <si>
    <t>happyranen.9@gmail.com</t>
  </si>
  <si>
    <t>093-0117-21</t>
  </si>
  <si>
    <t>dentinpeter@yahoo.com</t>
  </si>
  <si>
    <t>026-0075-22</t>
  </si>
  <si>
    <t>taraweil@yahoo.com</t>
  </si>
  <si>
    <t>026-0083-18</t>
  </si>
  <si>
    <t>manniek15@gmail.com</t>
  </si>
  <si>
    <t>011-0142-20</t>
  </si>
  <si>
    <t>demasi.allen1@gmail.com</t>
  </si>
  <si>
    <t>024-0065-21</t>
  </si>
  <si>
    <t>jrschmidt019740@gmail.com</t>
  </si>
  <si>
    <t>001-0384-19</t>
  </si>
  <si>
    <t>015-0039-14</t>
  </si>
  <si>
    <t>monsterenergytf@gmail.com</t>
  </si>
  <si>
    <t>481-0084-15</t>
  </si>
  <si>
    <t>002-0119-18</t>
  </si>
  <si>
    <t>mikewolf200144@gmail.com</t>
  </si>
  <si>
    <t>026-0761-20</t>
  </si>
  <si>
    <t>alexramsell@gmail.com</t>
  </si>
  <si>
    <t>332-0035-19</t>
  </si>
  <si>
    <t>garylesher0@gmail.com</t>
  </si>
  <si>
    <t>571-0038-22</t>
  </si>
  <si>
    <t>001-0065-21</t>
  </si>
  <si>
    <t>rmaes0220@gmail.com</t>
  </si>
  <si>
    <t>008-0233-17</t>
  </si>
  <si>
    <t>Taylor.denning12@gmail.com</t>
  </si>
  <si>
    <t>008-0076-18</t>
  </si>
  <si>
    <t>jonwion76@gmail.com</t>
  </si>
  <si>
    <t>013-0016-19</t>
  </si>
  <si>
    <t>tspoon9817@gmail.com</t>
  </si>
  <si>
    <t>015-0160-20</t>
  </si>
  <si>
    <t>026-0643-18</t>
  </si>
  <si>
    <t>sibertclarissa@gmail.com</t>
  </si>
  <si>
    <t>026-0194-18</t>
  </si>
  <si>
    <t>hassan18aden@gmail.com</t>
  </si>
  <si>
    <t>496-0008-19</t>
  </si>
  <si>
    <t>puppychavez6726@gmail.com</t>
  </si>
  <si>
    <t>026-0400-20</t>
  </si>
  <si>
    <t>brendatrude@gmail.com</t>
  </si>
  <si>
    <t>078-0093-17</t>
  </si>
  <si>
    <t>011-0082-19</t>
  </si>
  <si>
    <t>winniepooh532@yahoo.com</t>
  </si>
  <si>
    <t>026-0768-20</t>
  </si>
  <si>
    <t>ptony3457@gmail.com</t>
  </si>
  <si>
    <t>015-0163-17</t>
  </si>
  <si>
    <t>008-0463-20</t>
  </si>
  <si>
    <t>treygibbs03@gmail.com</t>
  </si>
  <si>
    <t>042-0075-22</t>
  </si>
  <si>
    <t>scoopie11@gmail.com</t>
  </si>
  <si>
    <t>008-0126-19</t>
  </si>
  <si>
    <t>baileymjohnson19@gmail.com</t>
  </si>
  <si>
    <t>026-0619-18</t>
  </si>
  <si>
    <t>chicagonut99@yahoo.com</t>
  </si>
  <si>
    <t>015-0102-20</t>
  </si>
  <si>
    <t>max.vandergraaf@hotmail.com</t>
  </si>
  <si>
    <t>026-0373-19</t>
  </si>
  <si>
    <t>003-0073-13</t>
  </si>
  <si>
    <t>katiedwyer52@gmail.com</t>
  </si>
  <si>
    <t>001-0438-21</t>
  </si>
  <si>
    <t>donna.spieker@va.gov</t>
  </si>
  <si>
    <t>007-0240-19</t>
  </si>
  <si>
    <t>samanthanicole0315@gmail.com</t>
  </si>
  <si>
    <t>093-0068-21</t>
  </si>
  <si>
    <t>starkeyc@nicc.edu</t>
  </si>
  <si>
    <t>001-0141-18</t>
  </si>
  <si>
    <t>michaeltucker0719@gmail.com</t>
  </si>
  <si>
    <t>015-0074-22</t>
  </si>
  <si>
    <t>tinnadavis37@gmail.com</t>
  </si>
  <si>
    <t>078-0025-21</t>
  </si>
  <si>
    <t>kaydkent@gmail.com</t>
  </si>
  <si>
    <t>024-0122-15</t>
  </si>
  <si>
    <t>mikelwbrown@yahoo.com</t>
  </si>
  <si>
    <t>024-0024-17</t>
  </si>
  <si>
    <t>montanamwow@gmail.com</t>
  </si>
  <si>
    <t>001-0563-19</t>
  </si>
  <si>
    <t>aingrams@msan.com</t>
  </si>
  <si>
    <t>014-0007-21</t>
  </si>
  <si>
    <t>014-0196-21</t>
  </si>
  <si>
    <t>markwisor@comcast.net</t>
  </si>
  <si>
    <t>007-0070-19</t>
  </si>
  <si>
    <t>008-0412-21</t>
  </si>
  <si>
    <t>ddrahn9@gmail.com</t>
  </si>
  <si>
    <t>485-0169-19</t>
  </si>
  <si>
    <t>josephberner13579@gmail.com</t>
  </si>
  <si>
    <t>003-0094-17</t>
  </si>
  <si>
    <t>labguy2010@yahoo.com</t>
  </si>
  <si>
    <t>485-0090-19</t>
  </si>
  <si>
    <t>ae98438@gmail.com</t>
  </si>
  <si>
    <t>015-0001-22</t>
  </si>
  <si>
    <t>terri.orton2016@gmail.com</t>
  </si>
  <si>
    <t>006-0076-20</t>
  </si>
  <si>
    <t>huseskyler@gmail.com</t>
  </si>
  <si>
    <t>065-0045-18</t>
  </si>
  <si>
    <t>joem@peoples-ebank.com</t>
  </si>
  <si>
    <t>013-0205-19</t>
  </si>
  <si>
    <t>moggies1961@gmail.com</t>
  </si>
  <si>
    <t>001-0070-21</t>
  </si>
  <si>
    <t>79.jennifer.ann@gmail.com</t>
  </si>
  <si>
    <t>015-0330-20</t>
  </si>
  <si>
    <t>dclifford2001@outlook.com</t>
  </si>
  <si>
    <t>008-0380-18</t>
  </si>
  <si>
    <t>013-0381-18</t>
  </si>
  <si>
    <t>nobrown@student.linnmar.org</t>
  </si>
  <si>
    <t>015-0125-22</t>
  </si>
  <si>
    <t>013-0079-22</t>
  </si>
  <si>
    <t>maggierooney55@yahoo.com</t>
  </si>
  <si>
    <t>026-0657-21</t>
  </si>
  <si>
    <t>marcalint3@gmail.com</t>
  </si>
  <si>
    <t>026-0360-22</t>
  </si>
  <si>
    <t>stone.nathan88@gmail.com</t>
  </si>
  <si>
    <t>042-0208-20</t>
  </si>
  <si>
    <t>015-0152-18</t>
  </si>
  <si>
    <t>001-0304-21</t>
  </si>
  <si>
    <t>042-0140-16</t>
  </si>
  <si>
    <t>jldvfarms@aol.com</t>
  </si>
  <si>
    <t>006-0092-16</t>
  </si>
  <si>
    <t>kwriter98@gmail.com</t>
  </si>
  <si>
    <t>026-0267-14</t>
  </si>
  <si>
    <t>011-0132-18</t>
  </si>
  <si>
    <t>042-0027-20</t>
  </si>
  <si>
    <t>madelynackerman736@gmail.com</t>
  </si>
  <si>
    <t>332-0072-21</t>
  </si>
  <si>
    <t>josephmcclarnon428@gmail.com</t>
  </si>
  <si>
    <t>007-0028-15</t>
  </si>
  <si>
    <t>bnverschoor@gmail.com</t>
  </si>
  <si>
    <t>006-0155-20</t>
  </si>
  <si>
    <t>mfontana777@gmail.com</t>
  </si>
  <si>
    <t>024-0125-10</t>
  </si>
  <si>
    <t>paxton2012@outlook.com</t>
  </si>
  <si>
    <t>001-0298-20</t>
  </si>
  <si>
    <t>093-0097-21</t>
  </si>
  <si>
    <t>481-0077-21</t>
  </si>
  <si>
    <t>001-0540-21</t>
  </si>
  <si>
    <t>oregan.dean@gmail.com</t>
  </si>
  <si>
    <t>015-0258-21</t>
  </si>
  <si>
    <t>chiefkeith285@icloud.com</t>
  </si>
  <si>
    <t>026-0208-20</t>
  </si>
  <si>
    <t>dagantt@me.com</t>
  </si>
  <si>
    <t>005-0215-21</t>
  </si>
  <si>
    <t>bobgroth@live.com</t>
  </si>
  <si>
    <t>013-0409-20</t>
  </si>
  <si>
    <t>luensmann35@gmail.com</t>
  </si>
  <si>
    <t>001-0316-21</t>
  </si>
  <si>
    <t>ttracy6282@gmail.com</t>
  </si>
  <si>
    <t>002-0050-20</t>
  </si>
  <si>
    <t>001-0010-19</t>
  </si>
  <si>
    <t>mspjbirdministries@gmail.com</t>
  </si>
  <si>
    <t>014-0279-21</t>
  </si>
  <si>
    <t>ctf1945@gmail.com</t>
  </si>
  <si>
    <t>014-0146-21</t>
  </si>
  <si>
    <t>ghumphreymary@gmail.com</t>
  </si>
  <si>
    <t>014-0125-20</t>
  </si>
  <si>
    <t>026-0272-19</t>
  </si>
  <si>
    <t>joann7887@gmail.com</t>
  </si>
  <si>
    <t>001-0639-20</t>
  </si>
  <si>
    <t>acorum@netins.net</t>
  </si>
  <si>
    <t>013-0135-20</t>
  </si>
  <si>
    <t>mauricerandolph01@icloud.com</t>
  </si>
  <si>
    <t>001-0173-21</t>
  </si>
  <si>
    <t>tLHeim@icloud.com</t>
  </si>
  <si>
    <t>001-0078-20</t>
  </si>
  <si>
    <t>kevin.feeney45@gmail.com</t>
  </si>
  <si>
    <t>007-0195-19</t>
  </si>
  <si>
    <t>jsnieman15@gmail.com</t>
  </si>
  <si>
    <t>092-0014-20</t>
  </si>
  <si>
    <t>mccoyrobin48@gmail.com</t>
  </si>
  <si>
    <t>013-0182-15</t>
  </si>
  <si>
    <t>bolingaustind@gmail.com</t>
  </si>
  <si>
    <t>005-0165-21</t>
  </si>
  <si>
    <t>semajlogan@hotmail.com</t>
  </si>
  <si>
    <t>001-0662-20</t>
  </si>
  <si>
    <t>johannsen_lisa@yahoo.com</t>
  </si>
  <si>
    <t>011-0137-20</t>
  </si>
  <si>
    <t>brianjanacaleb@yahoo.com</t>
  </si>
  <si>
    <t>001-0103-20</t>
  </si>
  <si>
    <t>kelseyk300@gmail.com</t>
  </si>
  <si>
    <t>065-0070-19</t>
  </si>
  <si>
    <t>aracelyn@Boyden-Hull.org</t>
  </si>
  <si>
    <t>007-0090-19</t>
  </si>
  <si>
    <t>stephe.cook@gmail.com</t>
  </si>
  <si>
    <t>093-0060-20</t>
  </si>
  <si>
    <t>connelya@nicc.edu</t>
  </si>
  <si>
    <t>013-0237-19</t>
  </si>
  <si>
    <t>tremurray24@gmail.com</t>
  </si>
  <si>
    <t>026-0284-20</t>
  </si>
  <si>
    <t>065-0034-17</t>
  </si>
  <si>
    <t>bollinger12K@icloud.com</t>
  </si>
  <si>
    <t>006-0167-21</t>
  </si>
  <si>
    <t>chrisregenwether@gmail.com</t>
  </si>
  <si>
    <t>006-0454-21</t>
  </si>
  <si>
    <t>rockstarkimi.waller@gmail.com</t>
  </si>
  <si>
    <t>562-0004-18</t>
  </si>
  <si>
    <t>mnburk@dmacc.edu</t>
  </si>
  <si>
    <t>026-0462-21</t>
  </si>
  <si>
    <t>badforthebrain@gmail.com</t>
  </si>
  <si>
    <t>026-0646-17</t>
  </si>
  <si>
    <t>marronian321@gmail.com</t>
  </si>
  <si>
    <t>008-0125-21</t>
  </si>
  <si>
    <t>brbeahr@yahoo.com</t>
  </si>
  <si>
    <t>042-0166-21</t>
  </si>
  <si>
    <t>cutachajjn@hotmail.com</t>
  </si>
  <si>
    <t>008-0072-19</t>
  </si>
  <si>
    <t>001-0589-20</t>
  </si>
  <si>
    <t>matthewdudley41@gmail.com</t>
  </si>
  <si>
    <t>332-0046-19</t>
  </si>
  <si>
    <t>026-0798-21</t>
  </si>
  <si>
    <t>013-0203-20</t>
  </si>
  <si>
    <t>wiewelmackai@gmail.com</t>
  </si>
  <si>
    <t>014-0063-18</t>
  </si>
  <si>
    <t>emily-steinbach@uiowa.edu</t>
  </si>
  <si>
    <t>093-0028-18</t>
  </si>
  <si>
    <t>024-0087-19</t>
  </si>
  <si>
    <t>indigojedavis@gmail.com</t>
  </si>
  <si>
    <t>026-0219-16</t>
  </si>
  <si>
    <t>ccmueller08@yahoo.com</t>
  </si>
  <si>
    <t>485-0141-12</t>
  </si>
  <si>
    <t>009-0017-22</t>
  </si>
  <si>
    <t>ervinschmidt@yahoo.com</t>
  </si>
  <si>
    <t>065-0109-20</t>
  </si>
  <si>
    <t>015-0336-18</t>
  </si>
  <si>
    <t>isaiahschwantes@gmail.com</t>
  </si>
  <si>
    <t>485-0174-14</t>
  </si>
  <si>
    <t>loganlc1997@gmail.com</t>
  </si>
  <si>
    <t>015-0025-22</t>
  </si>
  <si>
    <t>026-0218-19</t>
  </si>
  <si>
    <t>joebennett51@yahoo.com</t>
  </si>
  <si>
    <t>007-0100-18</t>
  </si>
  <si>
    <t>007-0056-14</t>
  </si>
  <si>
    <t>pencilh21@live.siouxcityschools.com</t>
  </si>
  <si>
    <t>481-0055-17</t>
  </si>
  <si>
    <t>kickenclaybourn@gmail.com</t>
  </si>
  <si>
    <t>008-0163-20</t>
  </si>
  <si>
    <t>002-0117-19</t>
  </si>
  <si>
    <t>rinngyboy@gmail.com</t>
  </si>
  <si>
    <t>005-0065-19</t>
  </si>
  <si>
    <t>cunderwood1996@gmail.com</t>
  </si>
  <si>
    <t>008-0341-19</t>
  </si>
  <si>
    <t>rconwayw@aol.com</t>
  </si>
  <si>
    <t>026-0395-20</t>
  </si>
  <si>
    <t>026-0857-20</t>
  </si>
  <si>
    <t>alexamolina0205@icloud.com</t>
  </si>
  <si>
    <t>025-0036-18</t>
  </si>
  <si>
    <t>gennanaill@icloud.com</t>
  </si>
  <si>
    <t>008-0210-20</t>
  </si>
  <si>
    <t>093-0026-19</t>
  </si>
  <si>
    <t>karenbruns48@yahoo.com</t>
  </si>
  <si>
    <t>078-0011-22</t>
  </si>
  <si>
    <t>002-0127-20</t>
  </si>
  <si>
    <t>storeyrdavid488@gmail.com</t>
  </si>
  <si>
    <t>026-0045-18</t>
  </si>
  <si>
    <t>secretjohnson17@icloud.com</t>
  </si>
  <si>
    <t>006-0185-22</t>
  </si>
  <si>
    <t>003-0062-21</t>
  </si>
  <si>
    <t>ventura.taz@gmail.com</t>
  </si>
  <si>
    <t>009-0030-18</t>
  </si>
  <si>
    <t>tvjorgensen@yahoo.com</t>
  </si>
  <si>
    <t>026-0438-17</t>
  </si>
  <si>
    <t>009-0016-20</t>
  </si>
  <si>
    <t>mnvikestc@gmail.com</t>
  </si>
  <si>
    <t>026-0411-18</t>
  </si>
  <si>
    <t>robutt1964@hotmail.com</t>
  </si>
  <si>
    <t>026-0163-16</t>
  </si>
  <si>
    <t>024-0145-18</t>
  </si>
  <si>
    <t>bnoy2m@gmail.com</t>
  </si>
  <si>
    <t>015-0240-18</t>
  </si>
  <si>
    <t>karlielee167@gmail.com</t>
  </si>
  <si>
    <t>026-0328-15</t>
  </si>
  <si>
    <t>092-0017-21</t>
  </si>
  <si>
    <t>kylemorgan529@gmail.com</t>
  </si>
  <si>
    <t>015-0115-20</t>
  </si>
  <si>
    <t>oneilhannah@yahoo.com</t>
  </si>
  <si>
    <t>014-0152-21</t>
  </si>
  <si>
    <t>tazzmastertazz@yahoo.com</t>
  </si>
  <si>
    <t>013-0002-22</t>
  </si>
  <si>
    <t>arnolddonita321@gmail.com</t>
  </si>
  <si>
    <t>042-0162-18</t>
  </si>
  <si>
    <t>ckralston@netins.net</t>
  </si>
  <si>
    <t>013-0244-21</t>
  </si>
  <si>
    <t>015-0016-15</t>
  </si>
  <si>
    <t>mwbowling1999@yahoo.com</t>
  </si>
  <si>
    <t>011-0073-18</t>
  </si>
  <si>
    <t>mafoster11@msn.com</t>
  </si>
  <si>
    <t>014-0060-11</t>
  </si>
  <si>
    <t>haleigh.n.jones@gmail.com</t>
  </si>
  <si>
    <t>093-0043-18</t>
  </si>
  <si>
    <t>332-0028-20</t>
  </si>
  <si>
    <t>015-0076-19</t>
  </si>
  <si>
    <t>fessler30@live.com</t>
  </si>
  <si>
    <t>026-0319-21</t>
  </si>
  <si>
    <t>greensavvy666@gmail.com</t>
  </si>
  <si>
    <t>008-0479-21</t>
  </si>
  <si>
    <t>shannonjanet344@gmail.com</t>
  </si>
  <si>
    <t>496-0027-20</t>
  </si>
  <si>
    <t>006-0224-19</t>
  </si>
  <si>
    <t>mwelcher0311@gmail.com</t>
  </si>
  <si>
    <t>042-0045-17</t>
  </si>
  <si>
    <t>toheme2004@gmail.com</t>
  </si>
  <si>
    <t>002-0236-18</t>
  </si>
  <si>
    <t>richardkennethmuell@yahoo.com</t>
  </si>
  <si>
    <t>026-0127-17</t>
  </si>
  <si>
    <t>jamilagarteh@icloud.com</t>
  </si>
  <si>
    <t>006-0215-19</t>
  </si>
  <si>
    <t>ethanki2019@gmail.com</t>
  </si>
  <si>
    <t>008-0104-16</t>
  </si>
  <si>
    <t>008-0237-22</t>
  </si>
  <si>
    <t>014-0264-19</t>
  </si>
  <si>
    <t>003-0131-22</t>
  </si>
  <si>
    <t>nbaraks@powergrafxinc.com</t>
  </si>
  <si>
    <t>008-0337-18</t>
  </si>
  <si>
    <t>dillonjnissen@gmail.com</t>
  </si>
  <si>
    <t>332-0088-16</t>
  </si>
  <si>
    <t>haileymfocht@gmail.com</t>
  </si>
  <si>
    <t>002-0156-21</t>
  </si>
  <si>
    <t>pelmore38@yahoo.com</t>
  </si>
  <si>
    <t>481-0043-18</t>
  </si>
  <si>
    <t>078-0085-21</t>
  </si>
  <si>
    <t>bemckenzie269@gmail.com</t>
  </si>
  <si>
    <t>332-0083-15</t>
  </si>
  <si>
    <t>victoriahoward2167@att.net</t>
  </si>
  <si>
    <t>006-0485-21</t>
  </si>
  <si>
    <t>knudsonaj@gmail.com</t>
  </si>
  <si>
    <t>015-0183-20</t>
  </si>
  <si>
    <t>timothydespenas@gmail.com</t>
  </si>
  <si>
    <t>013-0392-20</t>
  </si>
  <si>
    <t>jgrobertson34@gmail.com</t>
  </si>
  <si>
    <t>011-0118-20</t>
  </si>
  <si>
    <t>013-0071-19</t>
  </si>
  <si>
    <t>polo_67_99@yahoo.com</t>
  </si>
  <si>
    <t>001-0317-21</t>
  </si>
  <si>
    <t>ericklostermann@gmail.com</t>
  </si>
  <si>
    <t>093-0107-11</t>
  </si>
  <si>
    <t>003-0154-19</t>
  </si>
  <si>
    <t>gerobison@hotmail.com</t>
  </si>
  <si>
    <t>005-0134-16</t>
  </si>
  <si>
    <t>craigohlert60@gmail.com</t>
  </si>
  <si>
    <t>013-0039-17</t>
  </si>
  <si>
    <t>abrestrup@dbq.edu</t>
  </si>
  <si>
    <t>013-0116-19</t>
  </si>
  <si>
    <t>marypederson@gmail.com</t>
  </si>
  <si>
    <t>026-0204-18</t>
  </si>
  <si>
    <t>Jazzybb1818@gmail.com</t>
  </si>
  <si>
    <t>093-0002-18</t>
  </si>
  <si>
    <t>roxiezubrod@yahoo.com</t>
  </si>
  <si>
    <t>001-0311-16</t>
  </si>
  <si>
    <t>Jennifer Tibbetts</t>
  </si>
  <si>
    <t>015-0106-20</t>
  </si>
  <si>
    <t>briannapreteroti25@gmail.com</t>
  </si>
  <si>
    <t>026-0349-21</t>
  </si>
  <si>
    <t>cstrovers64@gmail.com</t>
  </si>
  <si>
    <t>485-0045-19</t>
  </si>
  <si>
    <t>014-0260-21</t>
  </si>
  <si>
    <t>bpat@mchsi.com</t>
  </si>
  <si>
    <t>002-0059-20</t>
  </si>
  <si>
    <t>002-0139-21</t>
  </si>
  <si>
    <t>juanmiranda043@gmail.com</t>
  </si>
  <si>
    <t>078-0079-21</t>
  </si>
  <si>
    <t>bmmg@live.com</t>
  </si>
  <si>
    <t>003-0080-16</t>
  </si>
  <si>
    <t>schonsnicholasi@sau.edu</t>
  </si>
  <si>
    <t>007-0314-19</t>
  </si>
  <si>
    <t>cerina.baker64@gmail.com</t>
  </si>
  <si>
    <t>001-0092-21</t>
  </si>
  <si>
    <t>ribbinkme@gmail.com</t>
  </si>
  <si>
    <t>014-0092-21</t>
  </si>
  <si>
    <t>026-0436-19</t>
  </si>
  <si>
    <t>shane-esposito@uiowa.edu</t>
  </si>
  <si>
    <t>006-0424-20</t>
  </si>
  <si>
    <t>lcm3673@yahoo.com</t>
  </si>
  <si>
    <t>065-0136-19</t>
  </si>
  <si>
    <t>bellaD2@wlooschools.org</t>
  </si>
  <si>
    <t>013-0032-17</t>
  </si>
  <si>
    <t>whhr@alpinecom.net</t>
  </si>
  <si>
    <t>007-0120-17</t>
  </si>
  <si>
    <t>dylanehrig@hotmail.com</t>
  </si>
  <si>
    <t>078-0014-21</t>
  </si>
  <si>
    <t>anlemker@westianet.net</t>
  </si>
  <si>
    <t>042-0063-19</t>
  </si>
  <si>
    <t>jennz_50142@yahoo.com</t>
  </si>
  <si>
    <t>013-0401-13</t>
  </si>
  <si>
    <t>codisharkey13@gmail.com</t>
  </si>
  <si>
    <t>332-0083-19</t>
  </si>
  <si>
    <t>078-0101-18</t>
  </si>
  <si>
    <t>026-0432-20</t>
  </si>
  <si>
    <t>windwalkerwolf@gmail.com</t>
  </si>
  <si>
    <t>002-0142-17</t>
  </si>
  <si>
    <t>honey_girl21@cox.net</t>
  </si>
  <si>
    <t>024-0126-21</t>
  </si>
  <si>
    <t>jjlarson2000@aol.com</t>
  </si>
  <si>
    <t>485-0013-20</t>
  </si>
  <si>
    <t>traver.lilian20@gmail.com</t>
  </si>
  <si>
    <t>015-0092-21</t>
  </si>
  <si>
    <t>mickeymousemagic006@gmail.com</t>
  </si>
  <si>
    <t>011-0029-15</t>
  </si>
  <si>
    <t>sanduskysasquatch@yahoo.com</t>
  </si>
  <si>
    <t>015-0209-21</t>
  </si>
  <si>
    <t>m_schinnow1@msn.com</t>
  </si>
  <si>
    <t>026-0597-21</t>
  </si>
  <si>
    <t>anyadock223@gmail.com</t>
  </si>
  <si>
    <t>013-0159-18</t>
  </si>
  <si>
    <t>nickdavisia@gmail.com</t>
  </si>
  <si>
    <t>015-0244-19</t>
  </si>
  <si>
    <t>summerbailey1987@gmail.com</t>
  </si>
  <si>
    <t>485-0064-19</t>
  </si>
  <si>
    <t>GJohns526@yahoo.com</t>
  </si>
  <si>
    <t>002-0224-18</t>
  </si>
  <si>
    <t>sykesa1108@gmail.com</t>
  </si>
  <si>
    <t>496-0025-16</t>
  </si>
  <si>
    <t>jenn.liberty@yahoo.com</t>
  </si>
  <si>
    <t>013-0347-21</t>
  </si>
  <si>
    <t>026-0164-22</t>
  </si>
  <si>
    <t>Ashley.Smith@sevitahealth.com</t>
  </si>
  <si>
    <t>002-0056-18</t>
  </si>
  <si>
    <t>alexburesh3@gmail.com</t>
  </si>
  <si>
    <t>078-0121-19</t>
  </si>
  <si>
    <t>gavin.jacobsen15@gmail.com</t>
  </si>
  <si>
    <t>099-0053-21</t>
  </si>
  <si>
    <t>danielledahlgren1984@gmail.com</t>
  </si>
  <si>
    <t>015-0204-19</t>
  </si>
  <si>
    <t>092-0016-18</t>
  </si>
  <si>
    <t>001-0230-20</t>
  </si>
  <si>
    <t>jastiffler@student.linnmar.org</t>
  </si>
  <si>
    <t>006-0034-21</t>
  </si>
  <si>
    <t>sp667016@gmail.com</t>
  </si>
  <si>
    <t>026-0700-21</t>
  </si>
  <si>
    <t>aericson@antioch.edu</t>
  </si>
  <si>
    <t>026-0102-18</t>
  </si>
  <si>
    <t>gilbertdevon850@gmail.com</t>
  </si>
  <si>
    <t>008-0316-21</t>
  </si>
  <si>
    <t>shekletonjanice71@yahoo.com</t>
  </si>
  <si>
    <t>008-0188-18</t>
  </si>
  <si>
    <t>amac2069@gmail.com</t>
  </si>
  <si>
    <t>006-0372-21</t>
  </si>
  <si>
    <t>eddieo31@yahoo.com</t>
  </si>
  <si>
    <t>026-0579-21</t>
  </si>
  <si>
    <t>ygarrette@gmail.com</t>
  </si>
  <si>
    <t>007-0320-19</t>
  </si>
  <si>
    <t>oehlem20@live.siouxcityschools.com</t>
  </si>
  <si>
    <t>015-0140-19</t>
  </si>
  <si>
    <t>hmakayla830@gmail.com</t>
  </si>
  <si>
    <t>026-0197-21</t>
  </si>
  <si>
    <t>vanessanfelman@gmail.com</t>
  </si>
  <si>
    <t>026-0401-20</t>
  </si>
  <si>
    <t>024-0086-20</t>
  </si>
  <si>
    <t>013-0372-21</t>
  </si>
  <si>
    <t>rentenjacklick64@gmail.com</t>
  </si>
  <si>
    <t>007-0055-19</t>
  </si>
  <si>
    <t>453-0022-22</t>
  </si>
  <si>
    <t>jenny.clayvon@aol.com</t>
  </si>
  <si>
    <t>001-0654-21</t>
  </si>
  <si>
    <t>luclusumba83@gmail.com</t>
  </si>
  <si>
    <t>332-0081-20</t>
  </si>
  <si>
    <t>ribbeysalena@yahoo.com</t>
  </si>
  <si>
    <t>011-0160-21</t>
  </si>
  <si>
    <t>008-0274-20</t>
  </si>
  <si>
    <t>susoldwisch@yahoo.com</t>
  </si>
  <si>
    <t>562-0004-17</t>
  </si>
  <si>
    <t>spencergutknecht@gmail.com</t>
  </si>
  <si>
    <t>011-0149-21</t>
  </si>
  <si>
    <t>dwatson69.67@gmail.com</t>
  </si>
  <si>
    <t>026-0518-18</t>
  </si>
  <si>
    <t>AW37327rules@gmail.com</t>
  </si>
  <si>
    <t>011-0108-21</t>
  </si>
  <si>
    <t>darinhill646@yahoo.com</t>
  </si>
  <si>
    <t>015-0183-19</t>
  </si>
  <si>
    <t>bioshockgirl134@gmail.com</t>
  </si>
  <si>
    <t>481-0050-18</t>
  </si>
  <si>
    <t>lenoxhouse4@imagineia.org</t>
  </si>
  <si>
    <t>065-0057-19</t>
  </si>
  <si>
    <t>paulwbotos@yahoo.com</t>
  </si>
  <si>
    <t>001-0142-21</t>
  </si>
  <si>
    <t>codytrealoff27@gmail.com</t>
  </si>
  <si>
    <t>006-0326-13</t>
  </si>
  <si>
    <t>robertsjane18@gmail.com</t>
  </si>
  <si>
    <t>024-0142-19</t>
  </si>
  <si>
    <t>453-0071-21</t>
  </si>
  <si>
    <t>ojfnow@yahoo.com</t>
  </si>
  <si>
    <t>026-0593-19</t>
  </si>
  <si>
    <t>mamajeri@live.com</t>
  </si>
  <si>
    <t>007-0230-19</t>
  </si>
  <si>
    <t>trey.rohlk@gmail.com</t>
  </si>
  <si>
    <t>078-0081-21</t>
  </si>
  <si>
    <t>angelaweitl@yahoo.com</t>
  </si>
  <si>
    <t>332-0111-21</t>
  </si>
  <si>
    <t>ambruce36@gmail.com</t>
  </si>
  <si>
    <t>093-0051-20</t>
  </si>
  <si>
    <t>schwadematt@yahoo.com</t>
  </si>
  <si>
    <t>332-0116-21</t>
  </si>
  <si>
    <t>001-0220-21</t>
  </si>
  <si>
    <t>001-0265-19</t>
  </si>
  <si>
    <t>eagates2019@gmail.com</t>
  </si>
  <si>
    <t>008-0148-13</t>
  </si>
  <si>
    <t>montgomerymlr@yahoo.com</t>
  </si>
  <si>
    <t>002-0005-18</t>
  </si>
  <si>
    <t>042-0061-19</t>
  </si>
  <si>
    <t>Jaimegersema@gmail.com</t>
  </si>
  <si>
    <t>015-0308-20</t>
  </si>
  <si>
    <t>keithgresham69@gmail.com</t>
  </si>
  <si>
    <t>014-0216-21</t>
  </si>
  <si>
    <t>glenndickerson43@gmail.com</t>
  </si>
  <si>
    <t>001-0148-11</t>
  </si>
  <si>
    <t>pecchiasj@hotmail.com</t>
  </si>
  <si>
    <t>332-0124-21</t>
  </si>
  <si>
    <t>chapmantim743@gmail.com</t>
  </si>
  <si>
    <t>026-0421-22</t>
  </si>
  <si>
    <t>francistraci21@outlook.com</t>
  </si>
  <si>
    <t>001-0219-20</t>
  </si>
  <si>
    <t>summerrose.bp@gmail.com</t>
  </si>
  <si>
    <t>001-0145-20</t>
  </si>
  <si>
    <t>kelseywoods893@gmail.com</t>
  </si>
  <si>
    <t>008-0022-21</t>
  </si>
  <si>
    <t>kungfuisking@hotmail.com</t>
  </si>
  <si>
    <t>006-0324-21</t>
  </si>
  <si>
    <t>cherryholmesalanna@gmail.com</t>
  </si>
  <si>
    <t>024-0007-19</t>
  </si>
  <si>
    <t>epfam8@gmail.com</t>
  </si>
  <si>
    <t>332-0127-21</t>
  </si>
  <si>
    <t>lveach2@gmail.com</t>
  </si>
  <si>
    <t>042-0062-22</t>
  </si>
  <si>
    <t>kymstein567@gmail.com</t>
  </si>
  <si>
    <t>013-0352-20</t>
  </si>
  <si>
    <t>portlettington.sierra@gmail.com</t>
  </si>
  <si>
    <t>001-0224-16</t>
  </si>
  <si>
    <t>darriancambridge6@gmail.com</t>
  </si>
  <si>
    <t>024-0145-19</t>
  </si>
  <si>
    <t>026-0441-18</t>
  </si>
  <si>
    <t>dgeisenhoff@gmail.com</t>
  </si>
  <si>
    <t>024-0022-15</t>
  </si>
  <si>
    <t>loriann.faith@yahoo.com</t>
  </si>
  <si>
    <t>005-0162-21</t>
  </si>
  <si>
    <t>gameofthrones122215@gmail.com</t>
  </si>
  <si>
    <t>005-0039-22</t>
  </si>
  <si>
    <t>prayerful1.lf@gmail.com</t>
  </si>
  <si>
    <t>007-0066-20</t>
  </si>
  <si>
    <t>robbiedominigue8@gmail.com</t>
  </si>
  <si>
    <t>011-0055-22</t>
  </si>
  <si>
    <t>daronnbass@yahoo.com</t>
  </si>
  <si>
    <t>014-0017-21</t>
  </si>
  <si>
    <t>005-0088-22</t>
  </si>
  <si>
    <t>026-0445-18</t>
  </si>
  <si>
    <t>xgamerdestroyer@gmail.com</t>
  </si>
  <si>
    <t>025-0015-18</t>
  </si>
  <si>
    <t>cccgate@windstream.net</t>
  </si>
  <si>
    <t>008-0037-21</t>
  </si>
  <si>
    <t>constancemontgonery@gmail.com</t>
  </si>
  <si>
    <t>332-0106-21</t>
  </si>
  <si>
    <t>rjmajp.2331@gmail.com</t>
  </si>
  <si>
    <t>453-0001-20</t>
  </si>
  <si>
    <t>tevinhaugen@gmail.com</t>
  </si>
  <si>
    <t>481-0065-21</t>
  </si>
  <si>
    <t>frogsane31@yahoo.com</t>
  </si>
  <si>
    <t>013-0152-19</t>
  </si>
  <si>
    <t>tris26op@outlook.com</t>
  </si>
  <si>
    <t>026-0363-19</t>
  </si>
  <si>
    <t>hlynnjohnson@hotmail.com</t>
  </si>
  <si>
    <t>005-0115-17</t>
  </si>
  <si>
    <t>014-0398-19</t>
  </si>
  <si>
    <t>TonyaLamfers@gmail.com</t>
  </si>
  <si>
    <t>011-0146-19</t>
  </si>
  <si>
    <t>026-0139-17</t>
  </si>
  <si>
    <t>tlholmes1@yahoo.com</t>
  </si>
  <si>
    <t>002-0036-18</t>
  </si>
  <si>
    <t>ginadplus3@yahoo.com</t>
  </si>
  <si>
    <t>008-0249-21</t>
  </si>
  <si>
    <t>009-0066-21</t>
  </si>
  <si>
    <t>taylorj3144@gmail.com</t>
  </si>
  <si>
    <t>560-0004-15</t>
  </si>
  <si>
    <t>14bvavricek@gmail.com</t>
  </si>
  <si>
    <t>042-0050-21</t>
  </si>
  <si>
    <t>saulg825@gmail.com</t>
  </si>
  <si>
    <t>026-0409-18</t>
  </si>
  <si>
    <t>oconnell.joe.hunter@gmail.com</t>
  </si>
  <si>
    <t>002-0414-20</t>
  </si>
  <si>
    <t>bambi65.bd@gmail.com</t>
  </si>
  <si>
    <t>007-0088-19</t>
  </si>
  <si>
    <t>wiesek20@live.siouxcityschools.com</t>
  </si>
  <si>
    <t>006-0181-19</t>
  </si>
  <si>
    <t>dhoppy88@gmail.com</t>
  </si>
  <si>
    <t>011-0049-18</t>
  </si>
  <si>
    <t>Brandi Mullen</t>
  </si>
  <si>
    <t>baldwinjeff94@gmail.com</t>
  </si>
  <si>
    <t>015-0173-21</t>
  </si>
  <si>
    <t>duckeeth@charles-city.k12.ia.us</t>
  </si>
  <si>
    <t>453-0038-21</t>
  </si>
  <si>
    <t>djhetzler12@gmail.com</t>
  </si>
  <si>
    <t>001-0342-18</t>
  </si>
  <si>
    <t>awsumtron@gmail.com</t>
  </si>
  <si>
    <t>026-0361-19</t>
  </si>
  <si>
    <t>sdmdmm0803@gmail.com</t>
  </si>
  <si>
    <t>026-0615-17</t>
  </si>
  <si>
    <t>lourdes854@gmail.com</t>
  </si>
  <si>
    <t>007-0261-18</t>
  </si>
  <si>
    <t>lepegr@gmail.com</t>
  </si>
  <si>
    <t>005-0061-21</t>
  </si>
  <si>
    <t>001-0123-21</t>
  </si>
  <si>
    <t>ellieward3627@gmail.com</t>
  </si>
  <si>
    <t>011-0136-19</t>
  </si>
  <si>
    <t>kimberlyransdell@yahoo.com</t>
  </si>
  <si>
    <t>008-0587-20</t>
  </si>
  <si>
    <t>jordansommerfelt19@gmail.com</t>
  </si>
  <si>
    <t>497-0009-19</t>
  </si>
  <si>
    <t>chadlee.58@gmail.com</t>
  </si>
  <si>
    <t>093-0032-20</t>
  </si>
  <si>
    <t>013-0258-15</t>
  </si>
  <si>
    <t>andresframbach@gmail.com</t>
  </si>
  <si>
    <t>002-0016-18</t>
  </si>
  <si>
    <t>hehite@nebraskamed.com</t>
  </si>
  <si>
    <t>026-0469-19</t>
  </si>
  <si>
    <t>marie.a.lane@gmail.com</t>
  </si>
  <si>
    <t>014-0072-20</t>
  </si>
  <si>
    <t>002-0211-18</t>
  </si>
  <si>
    <t>tedandroxanne@gmail.com</t>
  </si>
  <si>
    <t>093-0093-18</t>
  </si>
  <si>
    <t>jmarken528@gmail.com</t>
  </si>
  <si>
    <t>015-0088-21</t>
  </si>
  <si>
    <t>waynesorenson73@yahoo.com</t>
  </si>
  <si>
    <t>015-0197-21</t>
  </si>
  <si>
    <t>jennifermikesell1020@yahoo.com</t>
  </si>
  <si>
    <t>001-0670-19</t>
  </si>
  <si>
    <t>014-0399-19</t>
  </si>
  <si>
    <t>Tonylamfers@gmail.com</t>
  </si>
  <si>
    <t>025-0016-20</t>
  </si>
  <si>
    <t>waterburypaul521@yahoo.com</t>
  </si>
  <si>
    <t>013-0056-19</t>
  </si>
  <si>
    <t>2troubles@live.com</t>
  </si>
  <si>
    <t>015-0023-20</t>
  </si>
  <si>
    <t>farr95ford@gmail.com</t>
  </si>
  <si>
    <t>025-0042-19</t>
  </si>
  <si>
    <t>vpederson@iowatelecom.net</t>
  </si>
  <si>
    <t>013-0042-14</t>
  </si>
  <si>
    <t>009-0029-22</t>
  </si>
  <si>
    <t>vikingsfan40@live.com</t>
  </si>
  <si>
    <t>026-0322-19</t>
  </si>
  <si>
    <t>002-0165-21</t>
  </si>
  <si>
    <t>hale9311@yahoo.com</t>
  </si>
  <si>
    <t>001-0712-20</t>
  </si>
  <si>
    <t>jaj@indytel.com</t>
  </si>
  <si>
    <t>007-0032-20</t>
  </si>
  <si>
    <t>ironshell25@gmail.com</t>
  </si>
  <si>
    <t>011-0178-16</t>
  </si>
  <si>
    <t>lkupstairs@gmail.com</t>
  </si>
  <si>
    <t>008-0315-19</t>
  </si>
  <si>
    <t>mobleyjason@yahoo.com</t>
  </si>
  <si>
    <t>007-0030-18</t>
  </si>
  <si>
    <t>hannahj.roeder00@gmail.com</t>
  </si>
  <si>
    <t>011-0107-20</t>
  </si>
  <si>
    <t>austinmidthun@gmail.com</t>
  </si>
  <si>
    <t>013-0161-20</t>
  </si>
  <si>
    <t>lt_thein@hotmail.com</t>
  </si>
  <si>
    <t>092-0042-19</t>
  </si>
  <si>
    <t>malikwilson103@gmail.com</t>
  </si>
  <si>
    <t>008-0198-19</t>
  </si>
  <si>
    <t>cooker558@gmail.com</t>
  </si>
  <si>
    <t>006-0436-21</t>
  </si>
  <si>
    <t>1spudpotatoes1@gmail.com</t>
  </si>
  <si>
    <t>014-0396-20</t>
  </si>
  <si>
    <t>tpwellguy@yahoo.com</t>
  </si>
  <si>
    <t>015-0203-18</t>
  </si>
  <si>
    <t>davidleemensch2001@gmail.com</t>
  </si>
  <si>
    <t>015-0118-20</t>
  </si>
  <si>
    <t>derfiam14@gmail.com</t>
  </si>
  <si>
    <t>001-0150-20</t>
  </si>
  <si>
    <t>001-0076-19</t>
  </si>
  <si>
    <t>jacob.gibson.999@gmail.com</t>
  </si>
  <si>
    <t>001-0535-18</t>
  </si>
  <si>
    <t>20amedulan@crschools.us</t>
  </si>
  <si>
    <t>481-0023-22</t>
  </si>
  <si>
    <t>justin.jarmin@yahoo.com</t>
  </si>
  <si>
    <t>006-0100-19</t>
  </si>
  <si>
    <t>wrongturn.cs@gmail.com</t>
  </si>
  <si>
    <t>014-0420-20</t>
  </si>
  <si>
    <t>008-0540-20</t>
  </si>
  <si>
    <t>hrmaring@live.com</t>
  </si>
  <si>
    <t>014-0262-21</t>
  </si>
  <si>
    <t>jpbenson2005@msn.com</t>
  </si>
  <si>
    <t>007-0065-16</t>
  </si>
  <si>
    <t>tomfunnyman@live.com</t>
  </si>
  <si>
    <t>003-0263-20</t>
  </si>
  <si>
    <t>djda6459526@gmail.com</t>
  </si>
  <si>
    <t>008-0281-22</t>
  </si>
  <si>
    <t>003-0106-18</t>
  </si>
  <si>
    <t>jmhebrank@yahoo.com</t>
  </si>
  <si>
    <t>014-0254-15</t>
  </si>
  <si>
    <t>npeters3424@gmail.com</t>
  </si>
  <si>
    <t>013-0038-18</t>
  </si>
  <si>
    <t>nmarovets234@gmail.com</t>
  </si>
  <si>
    <t>009-0041-22</t>
  </si>
  <si>
    <t>aspooner57@hotmail.com</t>
  </si>
  <si>
    <t>014-0146-19</t>
  </si>
  <si>
    <t>rubyfam4@gmail.com</t>
  </si>
  <si>
    <t>099-0020-19</t>
  </si>
  <si>
    <t>lschmidt617@yahoo.com</t>
  </si>
  <si>
    <t>011-0205-21</t>
  </si>
  <si>
    <t>rowmow1979@gmail.com</t>
  </si>
  <si>
    <t>092-0025-22</t>
  </si>
  <si>
    <t>craigshorse@gmail.com</t>
  </si>
  <si>
    <t>007-0321-21</t>
  </si>
  <si>
    <t>timrand8569@gmail.com</t>
  </si>
  <si>
    <t>015-0175-21</t>
  </si>
  <si>
    <t>nixiriver@gmail.com</t>
  </si>
  <si>
    <t>042-0191-14</t>
  </si>
  <si>
    <t>kjjtbw@hotmail.com</t>
  </si>
  <si>
    <t>002-0065-19</t>
  </si>
  <si>
    <t>tkealy967@gmail.com</t>
  </si>
  <si>
    <t>014-0050-17</t>
  </si>
  <si>
    <t>dlogan676@gmail.com</t>
  </si>
  <si>
    <t>008-0489-19</t>
  </si>
  <si>
    <t>isaiaht466@gmail.com</t>
  </si>
  <si>
    <t>013-0091-18</t>
  </si>
  <si>
    <t>mturner2002@icloud.com</t>
  </si>
  <si>
    <t>065-0032-16</t>
  </si>
  <si>
    <t>koelezach@gmail.com</t>
  </si>
  <si>
    <t>011-0122-17</t>
  </si>
  <si>
    <t>stevensonkenyatta10@yahoo.com</t>
  </si>
  <si>
    <t>495-0052-11</t>
  </si>
  <si>
    <t>nicolemccubbin23@gmail.com</t>
  </si>
  <si>
    <t>026-0348-21</t>
  </si>
  <si>
    <t>604047@student.dmschools.org</t>
  </si>
  <si>
    <t>026-0134-22</t>
  </si>
  <si>
    <t>husseyd46@gmail.com</t>
  </si>
  <si>
    <t>099-0002-22</t>
  </si>
  <si>
    <t>kernsent@gmail.com</t>
  </si>
  <si>
    <t>025-0032-21</t>
  </si>
  <si>
    <t>mimiaguirre21055@gmail.com</t>
  </si>
  <si>
    <t>078-0008-20</t>
  </si>
  <si>
    <t>026-0406-22</t>
  </si>
  <si>
    <t>avisconti04@gmail.com</t>
  </si>
  <si>
    <t>011-0397-10</t>
  </si>
  <si>
    <t>485-0071-19</t>
  </si>
  <si>
    <t>kauptroy0@gmail.com</t>
  </si>
  <si>
    <t>093-0001-22</t>
  </si>
  <si>
    <t>cduncan.newman@gmail.com</t>
  </si>
  <si>
    <t>481-0076-15</t>
  </si>
  <si>
    <t>sbendixenW@live.com</t>
  </si>
  <si>
    <t>026-0136-21</t>
  </si>
  <si>
    <t>christopher.wells@centurylink.com</t>
  </si>
  <si>
    <t>008-0297-19</t>
  </si>
  <si>
    <t>chief_2134@yahoo.com</t>
  </si>
  <si>
    <t>026-0455-21</t>
  </si>
  <si>
    <t>shaferl2588@gmail.com</t>
  </si>
  <si>
    <t>015-0095-13</t>
  </si>
  <si>
    <t>melby.mark@gmail.com</t>
  </si>
  <si>
    <t>014-0240-18</t>
  </si>
  <si>
    <t>dionb2@gmail.com</t>
  </si>
  <si>
    <t>005-0064-19</t>
  </si>
  <si>
    <t>008-0192-18</t>
  </si>
  <si>
    <t>024-0179-19</t>
  </si>
  <si>
    <t>sbpatricia97@gmail.com</t>
  </si>
  <si>
    <t>001-0751-19</t>
  </si>
  <si>
    <t>dahol22@icstudents.org</t>
  </si>
  <si>
    <t>453-0076-21</t>
  </si>
  <si>
    <t>jeremyjohnson815@gmail.com</t>
  </si>
  <si>
    <t>014-0208-19</t>
  </si>
  <si>
    <t>013-0091-20</t>
  </si>
  <si>
    <t>ldludovis@gmail.com</t>
  </si>
  <si>
    <t>015-0245-21</t>
  </si>
  <si>
    <t>mhall1975@gmail.com</t>
  </si>
  <si>
    <t>005-0216-21</t>
  </si>
  <si>
    <t>harpysponge@gmail.com</t>
  </si>
  <si>
    <t>093-1203-09</t>
  </si>
  <si>
    <t>ruth.skrukrud@yahoo.com</t>
  </si>
  <si>
    <t>078-0039-13</t>
  </si>
  <si>
    <t>kriedell14@gmail.com</t>
  </si>
  <si>
    <t>332-0022-17</t>
  </si>
  <si>
    <t>dillionrocha@gmail.com</t>
  </si>
  <si>
    <t>332-0094-21</t>
  </si>
  <si>
    <t>kera.taylor2002@gmail.com</t>
  </si>
  <si>
    <t>013-0196-19</t>
  </si>
  <si>
    <t>adiradimitar@gmail.com</t>
  </si>
  <si>
    <t>025-0058-22</t>
  </si>
  <si>
    <t>jordanproctor101@gmail.com</t>
  </si>
  <si>
    <t>002-0047-14</t>
  </si>
  <si>
    <t>shari.brooks1@protonmail.com</t>
  </si>
  <si>
    <t>014-0202-20</t>
  </si>
  <si>
    <t>janectaylor1985@gmail.com</t>
  </si>
  <si>
    <t>005-0035-22</t>
  </si>
  <si>
    <t>006-0150-22</t>
  </si>
  <si>
    <t>robbiedo63@gmail.com</t>
  </si>
  <si>
    <t>014-0193-19</t>
  </si>
  <si>
    <t>jonichantry@hotmail.com</t>
  </si>
  <si>
    <t>497-0004-13</t>
  </si>
  <si>
    <t>zackstovie0356@gmail.com</t>
  </si>
  <si>
    <t>078-0071-19</t>
  </si>
  <si>
    <t>dmagnuson912@gmail.com</t>
  </si>
  <si>
    <t>007-0185-21</t>
  </si>
  <si>
    <t>aaronfiddelke3206@gmail.com</t>
  </si>
  <si>
    <t>453-0067-21</t>
  </si>
  <si>
    <t>pokedex08panda@gmail.com</t>
  </si>
  <si>
    <t>008-0007-22</t>
  </si>
  <si>
    <t>andrewhilmer3@gmail.com</t>
  </si>
  <si>
    <t>013-0071-20</t>
  </si>
  <si>
    <t>nathan.mcclain2002@gmail.com</t>
  </si>
  <si>
    <t>026-0489-21</t>
  </si>
  <si>
    <t>igotjoy1960@gmail.com</t>
  </si>
  <si>
    <t>009-0011-19</t>
  </si>
  <si>
    <t>epsellie@gmail.com</t>
  </si>
  <si>
    <t>014-0336-21</t>
  </si>
  <si>
    <t>kurtzalexandr@gmail.com</t>
  </si>
  <si>
    <t>015-0209-18</t>
  </si>
  <si>
    <t>blakebillings41@gmail.com</t>
  </si>
  <si>
    <t>014-0097-22</t>
  </si>
  <si>
    <t>chadfairchild135@gmail.com</t>
  </si>
  <si>
    <t>024-0185-20</t>
  </si>
  <si>
    <t>kylinmhanson@gmail.com</t>
  </si>
  <si>
    <t>007-0208-19</t>
  </si>
  <si>
    <t>093-0119-21</t>
  </si>
  <si>
    <t>irenebohr@hotmail.com</t>
  </si>
  <si>
    <t>015-0087-21</t>
  </si>
  <si>
    <t>chrishampe51@gmail.com</t>
  </si>
  <si>
    <t>001-0490-18</t>
  </si>
  <si>
    <t>dapatterson96@hotmail.com</t>
  </si>
  <si>
    <t>026-0405-19</t>
  </si>
  <si>
    <t>chanelbelle11@gmail.com</t>
  </si>
  <si>
    <t>014-0341-21</t>
  </si>
  <si>
    <t>reginaholmes60@icloud.com</t>
  </si>
  <si>
    <t>007-0320-21</t>
  </si>
  <si>
    <t>mannkathleen@msn.com</t>
  </si>
  <si>
    <t>001-0646-20</t>
  </si>
  <si>
    <t>dustin.krumm@gmail.com</t>
  </si>
  <si>
    <t>014-0404-20</t>
  </si>
  <si>
    <t>careannelewis7@gmail.com</t>
  </si>
  <si>
    <t>481-0021-22</t>
  </si>
  <si>
    <t>Cheyrae31@gmail.com</t>
  </si>
  <si>
    <t>008-0234-18</t>
  </si>
  <si>
    <t>Wireddifferentlytech@gmail.com</t>
  </si>
  <si>
    <t>015-0102-22</t>
  </si>
  <si>
    <t>Iowan76@gmail.com</t>
  </si>
  <si>
    <t>013-0054-16</t>
  </si>
  <si>
    <t>goedken.matthew@gmail.com</t>
  </si>
  <si>
    <t>015-0322-20</t>
  </si>
  <si>
    <t>alicia50441@gmail.com</t>
  </si>
  <si>
    <t>011-0128-14</t>
  </si>
  <si>
    <t>mmmaddox@scciowa.edu</t>
  </si>
  <si>
    <t>002-0066-17</t>
  </si>
  <si>
    <t>robjreeve@gmail.com</t>
  </si>
  <si>
    <t>026-0360-18</t>
  </si>
  <si>
    <t>heatherantunez@gmail.com</t>
  </si>
  <si>
    <t>093-0044-18</t>
  </si>
  <si>
    <t>caleb.zella2021@gmail.com</t>
  </si>
  <si>
    <t>002-0097-18</t>
  </si>
  <si>
    <t>gene.smith.14152@gmail.com</t>
  </si>
  <si>
    <t>014-0276-21</t>
  </si>
  <si>
    <t>deshaunsmith16@icloud.com</t>
  </si>
  <si>
    <t>026-0609-20</t>
  </si>
  <si>
    <t>jayqarcohen14@gmail.com</t>
  </si>
  <si>
    <t>007-0081-21</t>
  </si>
  <si>
    <t>026-0391-14</t>
  </si>
  <si>
    <t>usmc0302@q.com</t>
  </si>
  <si>
    <t>007-0028-20</t>
  </si>
  <si>
    <t>332-0045-20</t>
  </si>
  <si>
    <t>026-0446-16</t>
  </si>
  <si>
    <t>cynthiameyers68@gmail.com</t>
  </si>
  <si>
    <t>015-0212-18</t>
  </si>
  <si>
    <t>loganrowe90@gmail.com</t>
  </si>
  <si>
    <t>007-0073-22</t>
  </si>
  <si>
    <t>jjag_6583@yahoo.com</t>
  </si>
  <si>
    <t>013-0365-21</t>
  </si>
  <si>
    <t>julie.haufe@gmail.com</t>
  </si>
  <si>
    <t>007-0210-19</t>
  </si>
  <si>
    <t>haywogre@gmail.com</t>
  </si>
  <si>
    <t>015-0309-20</t>
  </si>
  <si>
    <t>tinaeastvold@hotmail.com</t>
  </si>
  <si>
    <t>026-0238-21</t>
  </si>
  <si>
    <t>rickierockwell@gmail.com</t>
  </si>
  <si>
    <t>026-0536-19</t>
  </si>
  <si>
    <t>Lestergriffin2016@gmail.com</t>
  </si>
  <si>
    <t>009-0018-18</t>
  </si>
  <si>
    <t>002-0174-18</t>
  </si>
  <si>
    <t>007-0053-18</t>
  </si>
  <si>
    <t>001-0505-20</t>
  </si>
  <si>
    <t>dustinpeterson951@gmail.com</t>
  </si>
  <si>
    <t>013-0200-18</t>
  </si>
  <si>
    <t>332-0022-21</t>
  </si>
  <si>
    <t>nicobriant3@gmail.com</t>
  </si>
  <si>
    <t>026-0140-21</t>
  </si>
  <si>
    <t>smgorham97@gmail.com</t>
  </si>
  <si>
    <t>026-0532-21</t>
  </si>
  <si>
    <t>juang353@gmail.com</t>
  </si>
  <si>
    <t>013-0093-21</t>
  </si>
  <si>
    <t>006-0027-22</t>
  </si>
  <si>
    <t>stephanieroozeboom8@gmail.com</t>
  </si>
  <si>
    <t>014-0247-21</t>
  </si>
  <si>
    <t>jack-garten@uiowa.edu</t>
  </si>
  <si>
    <t>015-0037-21</t>
  </si>
  <si>
    <t>jeffburke59@hotmail.com</t>
  </si>
  <si>
    <t>005-0091-17</t>
  </si>
  <si>
    <t>seth_clausen@yahoo.com</t>
  </si>
  <si>
    <t>015-0111-22</t>
  </si>
  <si>
    <t>024-0084-15</t>
  </si>
  <si>
    <t>storeytravis14@gmail.com</t>
  </si>
  <si>
    <t>007-0247-21</t>
  </si>
  <si>
    <t>nutonejones@gmail.com</t>
  </si>
  <si>
    <t>001-0263-22</t>
  </si>
  <si>
    <t>parkerwild15@gmail.com</t>
  </si>
  <si>
    <t>015-0173-20</t>
  </si>
  <si>
    <t>006-0124-19</t>
  </si>
  <si>
    <t>braydenporter793@gmail.com</t>
  </si>
  <si>
    <t>042-0029-13</t>
  </si>
  <si>
    <t>lilwink20072002@yahoo.com</t>
  </si>
  <si>
    <t>014-0030-15</t>
  </si>
  <si>
    <t>DanBelt96@outlook.com</t>
  </si>
  <si>
    <t>569-0003-21</t>
  </si>
  <si>
    <t>tazzpalace2001@gmail.com</t>
  </si>
  <si>
    <t>015-0139-20</t>
  </si>
  <si>
    <t>healingsucculents@icloud.com</t>
  </si>
  <si>
    <t>008-0208-20</t>
  </si>
  <si>
    <t>026-0550-18</t>
  </si>
  <si>
    <t>snjpatton4@gmail.com</t>
  </si>
  <si>
    <t>001-0461-21</t>
  </si>
  <si>
    <t>332-0072-17</t>
  </si>
  <si>
    <t>kmdodge11@gmail.com</t>
  </si>
  <si>
    <t>099-0001-22</t>
  </si>
  <si>
    <t>026-0270-21</t>
  </si>
  <si>
    <t>tawnringmaster@gmail.com</t>
  </si>
  <si>
    <t>024-0138-14</t>
  </si>
  <si>
    <t>011-0097-21</t>
  </si>
  <si>
    <t>kenyonboyd65@gmail.com</t>
  </si>
  <si>
    <t>026-0086-20</t>
  </si>
  <si>
    <t>matthewoconnell2003@gmail.com</t>
  </si>
  <si>
    <t>014-0040-21</t>
  </si>
  <si>
    <t>ilyeichhorn2@gmail.com</t>
  </si>
  <si>
    <t>002-0040-18</t>
  </si>
  <si>
    <t>002-0121-19</t>
  </si>
  <si>
    <t>481-0035-21</t>
  </si>
  <si>
    <t>015-0304-18</t>
  </si>
  <si>
    <t>007-0281-20</t>
  </si>
  <si>
    <t>quinnminnn@gmail.com</t>
  </si>
  <si>
    <t>002-0130-20</t>
  </si>
  <si>
    <t>bsbutler17@gmail.com</t>
  </si>
  <si>
    <t>025-0010-18</t>
  </si>
  <si>
    <t>chrisyina.cj2018@gmail.com</t>
  </si>
  <si>
    <t>008-0059-17</t>
  </si>
  <si>
    <t>fritzfl@yahoo.com</t>
  </si>
  <si>
    <t>026-0250-16</t>
  </si>
  <si>
    <t>mccormick69@yahoo.com</t>
  </si>
  <si>
    <t>026-0361-13</t>
  </si>
  <si>
    <t>rabbit.knight@yahoo.com</t>
  </si>
  <si>
    <t>026-0505-21</t>
  </si>
  <si>
    <t>ssimm8@msn.com</t>
  </si>
  <si>
    <t>015-0031-22</t>
  </si>
  <si>
    <t>believe5563@gmail.com</t>
  </si>
  <si>
    <t>015-0161-20</t>
  </si>
  <si>
    <t>002-0235-18</t>
  </si>
  <si>
    <t>korierockwell48@gmail.com</t>
  </si>
  <si>
    <t>026-0345-17</t>
  </si>
  <si>
    <t>doggyboy.rivers1@gmail.com</t>
  </si>
  <si>
    <t>001-0297-10</t>
  </si>
  <si>
    <t>anthies27@gmail.com</t>
  </si>
  <si>
    <t>015-0012-22</t>
  </si>
  <si>
    <t>026-0388-15</t>
  </si>
  <si>
    <t>mooremk61@msn.com</t>
  </si>
  <si>
    <t>007-0098-21</t>
  </si>
  <si>
    <t>james.john.rush@gmail.com</t>
  </si>
  <si>
    <t>026-0753-20</t>
  </si>
  <si>
    <t>jmatalone1964@gmail.com</t>
  </si>
  <si>
    <t>013-0184-20</t>
  </si>
  <si>
    <t>borgstahlkimberly2@gmail.com</t>
  </si>
  <si>
    <t>004-1321-09</t>
  </si>
  <si>
    <t>jwt@alumni.iastate.edu</t>
  </si>
  <si>
    <t>001-1486-09</t>
  </si>
  <si>
    <t>rebecca.grant07@yahoo.com</t>
  </si>
  <si>
    <t>092-0021-12</t>
  </si>
  <si>
    <t>brendannelson07@gmail.com</t>
  </si>
  <si>
    <t>002-0095-12</t>
  </si>
  <si>
    <t>002-0140-12</t>
  </si>
  <si>
    <t>rcarns80@gmail.com</t>
  </si>
  <si>
    <t>001-0363-12</t>
  </si>
  <si>
    <t>dancollin@outlook.com</t>
  </si>
  <si>
    <t>026-0435-12</t>
  </si>
  <si>
    <t>crisyllis27@gmail.com</t>
  </si>
  <si>
    <t>007-0081-13</t>
  </si>
  <si>
    <t>099-0021-13</t>
  </si>
  <si>
    <t>ashley-radig@uiowa.edu</t>
  </si>
  <si>
    <t>024-0081-13</t>
  </si>
  <si>
    <t>darend2016@gmail.com</t>
  </si>
  <si>
    <t>001-0260-13</t>
  </si>
  <si>
    <t>aag1996@hotmail.com</t>
  </si>
  <si>
    <t>574-0064-13</t>
  </si>
  <si>
    <t>kinkadecl@gmail.com</t>
  </si>
  <si>
    <t>007-0237-13</t>
  </si>
  <si>
    <t>kels612@mtcnet.net</t>
  </si>
  <si>
    <t>002-0192-13</t>
  </si>
  <si>
    <t>jessiemoore2878@icloud.com</t>
  </si>
  <si>
    <t>092-0003-14</t>
  </si>
  <si>
    <t>jmkottke@uni.edu</t>
  </si>
  <si>
    <t>026-0080-14</t>
  </si>
  <si>
    <t>jkoen4808@gmail.com</t>
  </si>
  <si>
    <t>007-0057-14</t>
  </si>
  <si>
    <t>monifahchoyce24@gmail.com</t>
  </si>
  <si>
    <t>099-0040-14</t>
  </si>
  <si>
    <t>herrickcalvin@gmail.com</t>
  </si>
  <si>
    <t>011-0175-14</t>
  </si>
  <si>
    <t>bridget.johnson@iw.edu</t>
  </si>
  <si>
    <t>014-0269-14</t>
  </si>
  <si>
    <t>thomaspetrzelka@gmail.com</t>
  </si>
  <si>
    <t>570-0026-14</t>
  </si>
  <si>
    <t>christopherwkennedy@yahoo.com</t>
  </si>
  <si>
    <t>015-0453-14</t>
  </si>
  <si>
    <t>mewiowa@wbfrec.com</t>
  </si>
  <si>
    <t>495-0014-15</t>
  </si>
  <si>
    <t>JoshMMorris9@gmail.com</t>
  </si>
  <si>
    <t>042-0028-15</t>
  </si>
  <si>
    <t>013-0094-15</t>
  </si>
  <si>
    <t>katyjolee@gmail.com</t>
  </si>
  <si>
    <t>005-0056-15</t>
  </si>
  <si>
    <t>026-0166-15</t>
  </si>
  <si>
    <t>cnhartley@dmacc.edu</t>
  </si>
  <si>
    <t>006-0107-15</t>
  </si>
  <si>
    <t>DerekSchultz728@gmail.com</t>
  </si>
  <si>
    <t>011-0195-15</t>
  </si>
  <si>
    <t>michaelaSpecketer@gmail.com</t>
  </si>
  <si>
    <t>014-0257-15</t>
  </si>
  <si>
    <t>dszmyrgala@gmail.com</t>
  </si>
  <si>
    <t>007-0174-15</t>
  </si>
  <si>
    <t>velping123@gmail.com</t>
  </si>
  <si>
    <t>093-0133-15</t>
  </si>
  <si>
    <t>bohrdawn45@gmail.com</t>
  </si>
  <si>
    <t>015-0027-16</t>
  </si>
  <si>
    <t>logeman11ml@gmail.com</t>
  </si>
  <si>
    <t>026-0077-16</t>
  </si>
  <si>
    <t>sydney-miller@uiowa.edu</t>
  </si>
  <si>
    <t>025-0018-16</t>
  </si>
  <si>
    <t>brevin919@gmail.com</t>
  </si>
  <si>
    <t>042-0036-16</t>
  </si>
  <si>
    <t>scarson607@gmail.com</t>
  </si>
  <si>
    <t>026-0208-16</t>
  </si>
  <si>
    <t>kayleekarg@gmail.com</t>
  </si>
  <si>
    <t>093-0072-16</t>
  </si>
  <si>
    <t>jaredknutson13@gmail.com</t>
  </si>
  <si>
    <t>008-0201-16</t>
  </si>
  <si>
    <t>017-0039-16</t>
  </si>
  <si>
    <t>sparrowhartmann@gmail.com</t>
  </si>
  <si>
    <t>013-0203-16</t>
  </si>
  <si>
    <t>mckennakelchen@gmail.com</t>
  </si>
  <si>
    <t>007-0199-16</t>
  </si>
  <si>
    <t>011-0010-17</t>
  </si>
  <si>
    <t>austin.d.shipley@gmail.com</t>
  </si>
  <si>
    <t>008-0025-17</t>
  </si>
  <si>
    <t>conger.virginia7804@gmail.com</t>
  </si>
  <si>
    <t>008-0049-17</t>
  </si>
  <si>
    <t>christian4was@gmail.com</t>
  </si>
  <si>
    <t>026-0093-17</t>
  </si>
  <si>
    <t>joanne.conradi@dmschools.org</t>
  </si>
  <si>
    <t>008-0104-17</t>
  </si>
  <si>
    <t>001-0119-17</t>
  </si>
  <si>
    <t>nbush71@gmail.com</t>
  </si>
  <si>
    <t>008-0216-17</t>
  </si>
  <si>
    <t>schristensen0467@gmail.com</t>
  </si>
  <si>
    <t>001-0172-17</t>
  </si>
  <si>
    <t>brianhines121@gmail.com</t>
  </si>
  <si>
    <t>001-0173-17</t>
  </si>
  <si>
    <t>brhodenfield@gmail.com</t>
  </si>
  <si>
    <t>001-0190-17</t>
  </si>
  <si>
    <t>rdoucette8182@gmail.com</t>
  </si>
  <si>
    <t>008-0262-17</t>
  </si>
  <si>
    <t>purdyben@iastate.edu</t>
  </si>
  <si>
    <t>013-0200-17</t>
  </si>
  <si>
    <t>Mothercarlson2017@gmail.com</t>
  </si>
  <si>
    <t>001-0249-17</t>
  </si>
  <si>
    <t>ethanjheims@gmail.com</t>
  </si>
  <si>
    <t>015-0273-17</t>
  </si>
  <si>
    <t>amie.bill@usda.gov</t>
  </si>
  <si>
    <t>006-0238-17</t>
  </si>
  <si>
    <t>mamajude21@gmail.com</t>
  </si>
  <si>
    <t>015-0362-17</t>
  </si>
  <si>
    <t>sparkyjr2222@gmail.com</t>
  </si>
  <si>
    <t>008-0425-17</t>
  </si>
  <si>
    <t>nadine-lenehan@student.kirkwood.edu</t>
  </si>
  <si>
    <t>562-0006-17</t>
  </si>
  <si>
    <t>amomme1121@gmail.com</t>
  </si>
  <si>
    <t>011-0266-17</t>
  </si>
  <si>
    <t>jaybirdm2001@yahoo.com</t>
  </si>
  <si>
    <t>008-0441-17</t>
  </si>
  <si>
    <t>knight1@mchsi.com</t>
  </si>
  <si>
    <t>011-0276-17</t>
  </si>
  <si>
    <t>kboysen@iastate.edu</t>
  </si>
  <si>
    <t>093-0068-17</t>
  </si>
  <si>
    <t>007-0343-17</t>
  </si>
  <si>
    <t>judecar301@gmail.com</t>
  </si>
  <si>
    <t>013-0275-17</t>
  </si>
  <si>
    <t>026-0647-17</t>
  </si>
  <si>
    <t>026-0033-18</t>
  </si>
  <si>
    <t>s.m.brown219@gmail.com</t>
  </si>
  <si>
    <t>026-0044-18</t>
  </si>
  <si>
    <t>mckibbenzn@gmail.com</t>
  </si>
  <si>
    <t>013-0040-18</t>
  </si>
  <si>
    <t>MOppelt2001@gmail.com</t>
  </si>
  <si>
    <t>001-0085-18</t>
  </si>
  <si>
    <t>22nick.h@gmail.com</t>
  </si>
  <si>
    <t>008-0072-18</t>
  </si>
  <si>
    <t>leeroy32001@yahoo.com</t>
  </si>
  <si>
    <t>015-0065-18</t>
  </si>
  <si>
    <t>jennie.hutchinson@yahoo.com</t>
  </si>
  <si>
    <t>002-0057-18</t>
  </si>
  <si>
    <t>codeblue703@gmail.com</t>
  </si>
  <si>
    <t>015-0101-18</t>
  </si>
  <si>
    <t>andrewbaesler12@gmail.com</t>
  </si>
  <si>
    <t>002-0089-18</t>
  </si>
  <si>
    <t>angelacemer@yahoo.com</t>
  </si>
  <si>
    <t>011-0069-18</t>
  </si>
  <si>
    <t>whitney-vantiger@student.kirkwood.edu</t>
  </si>
  <si>
    <t>002-0094-18</t>
  </si>
  <si>
    <t>025-0037-18</t>
  </si>
  <si>
    <t>25erichardson@gmail.com</t>
  </si>
  <si>
    <t>026-0255-18</t>
  </si>
  <si>
    <t>571-0007-18</t>
  </si>
  <si>
    <t>008-0121-18</t>
  </si>
  <si>
    <t>joeydipaolo786@gmail.com</t>
  </si>
  <si>
    <t>002-0105-18</t>
  </si>
  <si>
    <t>joslini@yahoo.com</t>
  </si>
  <si>
    <t>065-0038-18</t>
  </si>
  <si>
    <t>lydia.whalen9@gmail.com</t>
  </si>
  <si>
    <t>093-0035-18</t>
  </si>
  <si>
    <t>2020swangsness@gmail.com</t>
  </si>
  <si>
    <t>008-0174-18</t>
  </si>
  <si>
    <t>mbrannaman1156@gmail.com</t>
  </si>
  <si>
    <t>024-0084-18</t>
  </si>
  <si>
    <t>emma22@iastate.edu</t>
  </si>
  <si>
    <t>497-0027-18</t>
  </si>
  <si>
    <t>tonycassill1@gmail.com</t>
  </si>
  <si>
    <t>002-0142-18</t>
  </si>
  <si>
    <t>ann67goo@outlook.com</t>
  </si>
  <si>
    <t>007-0157-18</t>
  </si>
  <si>
    <t>002-0167-18</t>
  </si>
  <si>
    <t>rfgroskurth@gmail.com</t>
  </si>
  <si>
    <t>008-0231-18</t>
  </si>
  <si>
    <t>Zachary.harper@hawkeyecollege.edu</t>
  </si>
  <si>
    <t>042-0107-18</t>
  </si>
  <si>
    <t>delusions1313@hotmail.com</t>
  </si>
  <si>
    <t>026-0431-18</t>
  </si>
  <si>
    <t>015-0246-18</t>
  </si>
  <si>
    <t>nhusske1@gmail.com</t>
  </si>
  <si>
    <t>008-0260-18</t>
  </si>
  <si>
    <t>schillerpayton@gmail.com</t>
  </si>
  <si>
    <t>015-0256-18</t>
  </si>
  <si>
    <t>zevenson52@gmail.com</t>
  </si>
  <si>
    <t>496-0040-18</t>
  </si>
  <si>
    <t>arthdz97@gmail.com</t>
  </si>
  <si>
    <t>026-0492-18</t>
  </si>
  <si>
    <t>026-0501-18</t>
  </si>
  <si>
    <t>joagregg@yahoo.com</t>
  </si>
  <si>
    <t>024-0136-18</t>
  </si>
  <si>
    <t>geilenfeldtbrady@gmail.com</t>
  </si>
  <si>
    <t>001-0421-18</t>
  </si>
  <si>
    <t>carolinmlong@gmail.com</t>
  </si>
  <si>
    <t>011-0208-18</t>
  </si>
  <si>
    <t>nickbethurem28@gmail.com</t>
  </si>
  <si>
    <t>005-0135-18</t>
  </si>
  <si>
    <t>codylngford@gmail.com</t>
  </si>
  <si>
    <t>013-0255-18</t>
  </si>
  <si>
    <t>angelahealey4@gmail.com</t>
  </si>
  <si>
    <t>002-0242-18</t>
  </si>
  <si>
    <t>nancywilson226@gmail.com</t>
  </si>
  <si>
    <t>001-0551-18</t>
  </si>
  <si>
    <t>faechicky21@gmail.com</t>
  </si>
  <si>
    <t>001-0555-18</t>
  </si>
  <si>
    <t>002-0001-19</t>
  </si>
  <si>
    <t>splechas1sp@icloud.com</t>
  </si>
  <si>
    <t>002-0019-19</t>
  </si>
  <si>
    <t>mdofner035@cbcsd.org</t>
  </si>
  <si>
    <t>495-0004-19</t>
  </si>
  <si>
    <t>rtrothfus@windstream.net</t>
  </si>
  <si>
    <t>013-0032-19</t>
  </si>
  <si>
    <t>lawmedrn@aol.com</t>
  </si>
  <si>
    <t>003-0035-19</t>
  </si>
  <si>
    <t>iaingronewold@gmail.com</t>
  </si>
  <si>
    <t>001-0117-19</t>
  </si>
  <si>
    <t>walkerjarvis33@yahoo.com</t>
  </si>
  <si>
    <t>026-0147-19</t>
  </si>
  <si>
    <t>danielseleman70@outlook.com</t>
  </si>
  <si>
    <t>014-0058-19</t>
  </si>
  <si>
    <t>varickgordon123456@gmail.com</t>
  </si>
  <si>
    <t>026-0153-19</t>
  </si>
  <si>
    <t>oatkins.89@gmail.com</t>
  </si>
  <si>
    <t>026-0168-19</t>
  </si>
  <si>
    <t>trevorspratt720@gmail.com</t>
  </si>
  <si>
    <t>099-0006-19</t>
  </si>
  <si>
    <t>007-0116-19</t>
  </si>
  <si>
    <t>danibennett795@gmail.com</t>
  </si>
  <si>
    <t>001-0243-19</t>
  </si>
  <si>
    <t>woodhannah847@gmail.com</t>
  </si>
  <si>
    <t>481-0028-19</t>
  </si>
  <si>
    <t>024-0090-19</t>
  </si>
  <si>
    <t>ndebrfank@aol.com</t>
  </si>
  <si>
    <t>014-0131-19</t>
  </si>
  <si>
    <t>wyattaoneil@gmail.com</t>
  </si>
  <si>
    <t>008-0200-19</t>
  </si>
  <si>
    <t>dugandevin@gmail.com</t>
  </si>
  <si>
    <t>015-0147-19</t>
  </si>
  <si>
    <t>19mooren@gmail.com</t>
  </si>
  <si>
    <t>006-0139-19</t>
  </si>
  <si>
    <t>collinbreen11@gmail.com</t>
  </si>
  <si>
    <t>026-0333-19</t>
  </si>
  <si>
    <t>hillemantony@gmail.com</t>
  </si>
  <si>
    <t>014-0166-19</t>
  </si>
  <si>
    <t>cleo12248@yahoo.com</t>
  </si>
  <si>
    <t>026-0345-19</t>
  </si>
  <si>
    <t>008-0245-19</t>
  </si>
  <si>
    <t>cad1132@gmail.com</t>
  </si>
  <si>
    <t>093-0059-19</t>
  </si>
  <si>
    <t>msabbyldietz@gmail.com</t>
  </si>
  <si>
    <t>013-0160-19</t>
  </si>
  <si>
    <t>lisakannbernhard@gmail.com</t>
  </si>
  <si>
    <t>001-0362-19</t>
  </si>
  <si>
    <t>amberleysundberg2018@gmail.com</t>
  </si>
  <si>
    <t>002-0149-19</t>
  </si>
  <si>
    <t>jeniethequeen@hotmail.com</t>
  </si>
  <si>
    <t>099-0013-19</t>
  </si>
  <si>
    <t>harrisisaac81@gmail.com</t>
  </si>
  <si>
    <t>014-0207-19</t>
  </si>
  <si>
    <t>andrewshaw1111@gmail.com</t>
  </si>
  <si>
    <t>497-0028-19</t>
  </si>
  <si>
    <t>026-0447-19</t>
  </si>
  <si>
    <t>008-0296-19</t>
  </si>
  <si>
    <t>kyliekukral2003@gmail.com</t>
  </si>
  <si>
    <t>026-0458-19</t>
  </si>
  <si>
    <t>kel5pe@yahoo.com</t>
  </si>
  <si>
    <t>002-0166-19</t>
  </si>
  <si>
    <t>traceygray00@gmail.com</t>
  </si>
  <si>
    <t>065-0043-19</t>
  </si>
  <si>
    <t>lillianpage02@gmail.com</t>
  </si>
  <si>
    <t>006-0205-19</t>
  </si>
  <si>
    <t>trevoreagle9@gmail.com</t>
  </si>
  <si>
    <t>006-0212-19</t>
  </si>
  <si>
    <t>inflxshn@gmail.com</t>
  </si>
  <si>
    <t>093-0080-19</t>
  </si>
  <si>
    <t>cristalfoltz@yahoo.com</t>
  </si>
  <si>
    <t>008-0319-19</t>
  </si>
  <si>
    <t>485-0067-19</t>
  </si>
  <si>
    <t>michelleelkins33@gmail.com</t>
  </si>
  <si>
    <t>006-0218-19</t>
  </si>
  <si>
    <t>northcutt.roza.nm@gmail.com</t>
  </si>
  <si>
    <t>026-0487-19</t>
  </si>
  <si>
    <t>heather3dao@gmail.com</t>
  </si>
  <si>
    <t>014-0254-19</t>
  </si>
  <si>
    <t>rldecoster03@gmail.com</t>
  </si>
  <si>
    <t>001-0469-19</t>
  </si>
  <si>
    <t>gamerbrandon26@gmail.com</t>
  </si>
  <si>
    <t>002-0190-19</t>
  </si>
  <si>
    <t>006-0254-19</t>
  </si>
  <si>
    <t>007-0221-19</t>
  </si>
  <si>
    <t>001-0534-19</t>
  </si>
  <si>
    <t>kimberly-hansen@hotmail.com</t>
  </si>
  <si>
    <t>001-0542-19</t>
  </si>
  <si>
    <t>plogsdon30@wmconnect.com</t>
  </si>
  <si>
    <t>006-0272-19</t>
  </si>
  <si>
    <t>crystalbckr@gmail.com</t>
  </si>
  <si>
    <t>024-0183-19</t>
  </si>
  <si>
    <t>jstaines24@gmail.com</t>
  </si>
  <si>
    <t>485-0088-19</t>
  </si>
  <si>
    <t>kevinkyarsgaard@gmail.com</t>
  </si>
  <si>
    <t>008-0405-19</t>
  </si>
  <si>
    <t>fikretmusic@ymail.com</t>
  </si>
  <si>
    <t>001-0579-19</t>
  </si>
  <si>
    <t>elaine.mahler.1978@gmail.com</t>
  </si>
  <si>
    <t>005-0160-19</t>
  </si>
  <si>
    <t>078-0106-19</t>
  </si>
  <si>
    <t>024-0206-19</t>
  </si>
  <si>
    <t>JessAlwaysLoyal@gmail.com</t>
  </si>
  <si>
    <t>008-0008-20</t>
  </si>
  <si>
    <t>GleissnerJ77@uiu.edu</t>
  </si>
  <si>
    <t>026-0023-20</t>
  </si>
  <si>
    <t>006-0019-20</t>
  </si>
  <si>
    <t>coramj.jc@gmail.com</t>
  </si>
  <si>
    <t>008-0022-20</t>
  </si>
  <si>
    <t>frankbuck.ia2@gmail.com</t>
  </si>
  <si>
    <t>001-0024-20</t>
  </si>
  <si>
    <t>lainyar@gmail.com</t>
  </si>
  <si>
    <t>026-0070-20</t>
  </si>
  <si>
    <t>davidfield151@gmail.com</t>
  </si>
  <si>
    <t>042-0016-20</t>
  </si>
  <si>
    <t>flickinger68@gmail.com</t>
  </si>
  <si>
    <t>026-0096-20</t>
  </si>
  <si>
    <t>024-0026-20</t>
  </si>
  <si>
    <t>johansenmarnie@yahoo.com</t>
  </si>
  <si>
    <t>026-0106-20</t>
  </si>
  <si>
    <t>092-0009-20</t>
  </si>
  <si>
    <t>nrm_mrls@yahoo.com</t>
  </si>
  <si>
    <t>001-0075-20</t>
  </si>
  <si>
    <t>dominicmessina1966@yahoo.com</t>
  </si>
  <si>
    <t>014-0059-20</t>
  </si>
  <si>
    <t>kymanthiel@gmail.com</t>
  </si>
  <si>
    <t>008-0092-20</t>
  </si>
  <si>
    <t>015-0072-20</t>
  </si>
  <si>
    <t>013-0082-20</t>
  </si>
  <si>
    <t>rundecarly5@gmail.com</t>
  </si>
  <si>
    <t>026-0205-20</t>
  </si>
  <si>
    <t>006-0075-20</t>
  </si>
  <si>
    <t>asejensen464@gmail.com</t>
  </si>
  <si>
    <t>009-0010-20</t>
  </si>
  <si>
    <t>nictutt5@gmail.com</t>
  </si>
  <si>
    <t>481-0025-20</t>
  </si>
  <si>
    <t>008-0138-20</t>
  </si>
  <si>
    <t>gillamjustina@gmail.com</t>
  </si>
  <si>
    <t>013-0118-20</t>
  </si>
  <si>
    <t>buzzwill88@gmail.com</t>
  </si>
  <si>
    <t>001-0141-20</t>
  </si>
  <si>
    <t>painterjonathan02@gmail.com</t>
  </si>
  <si>
    <t>008-0152-20</t>
  </si>
  <si>
    <t>011-0089-20</t>
  </si>
  <si>
    <t>009-0017-20</t>
  </si>
  <si>
    <t>jennyreiter1981@gmail.com</t>
  </si>
  <si>
    <t>001-0154-20</t>
  </si>
  <si>
    <t>sam234906@gmail.com</t>
  </si>
  <si>
    <t>002-0091-20</t>
  </si>
  <si>
    <t>jamiegrego@cox.net</t>
  </si>
  <si>
    <t>008-0166-20</t>
  </si>
  <si>
    <t>011-0103-20</t>
  </si>
  <si>
    <t>kaseyalexkerr2@gmail.com</t>
  </si>
  <si>
    <t>007-0086-20</t>
  </si>
  <si>
    <t>013-0149-20</t>
  </si>
  <si>
    <t>robert.barb69@gmail.com</t>
  </si>
  <si>
    <t>008-0191-20</t>
  </si>
  <si>
    <t>Reinhardtmiranda1@gmail.com</t>
  </si>
  <si>
    <t>014-0156-20</t>
  </si>
  <si>
    <t>cswrek@yahoo.com</t>
  </si>
  <si>
    <t>026-0314-20</t>
  </si>
  <si>
    <t>590588@student.dmschools.org</t>
  </si>
  <si>
    <t>024-0089-20</t>
  </si>
  <si>
    <t>willih520@gmail.com</t>
  </si>
  <si>
    <t>481-0038-20</t>
  </si>
  <si>
    <t>jpetersen9665@gmail.com</t>
  </si>
  <si>
    <t>011-0138-20</t>
  </si>
  <si>
    <t>008-0228-20</t>
  </si>
  <si>
    <t>jessehurta01@icloud.com</t>
  </si>
  <si>
    <t>005-0067-20</t>
  </si>
  <si>
    <t>vasquez.reymundo86@gmail.com</t>
  </si>
  <si>
    <t>001-0227-20</t>
  </si>
  <si>
    <t>nbswayne@hotmail.com</t>
  </si>
  <si>
    <t>013-0176-20</t>
  </si>
  <si>
    <t>johnjaeger1967@gmail.com</t>
  </si>
  <si>
    <t>026-0389-20</t>
  </si>
  <si>
    <t>025-0036-20</t>
  </si>
  <si>
    <t>breboswell44@gmail.com</t>
  </si>
  <si>
    <t>026-0412-20</t>
  </si>
  <si>
    <t>tdunn22@norwalk.k12.ia.us</t>
  </si>
  <si>
    <t>025-0111-18</t>
  </si>
  <si>
    <t>015-0441-18</t>
  </si>
  <si>
    <t>jamoklestad@my.niacc.edu</t>
  </si>
  <si>
    <t>093-0110-18</t>
  </si>
  <si>
    <t>connorhandkepersonal@gmail.com</t>
  </si>
  <si>
    <t>001-0865-18</t>
  </si>
  <si>
    <t>slaterc11@gmail.com</t>
  </si>
  <si>
    <t>007-0437-18</t>
  </si>
  <si>
    <t>matousk20@live.siouxcityschools.com</t>
  </si>
  <si>
    <t>026-1022-18</t>
  </si>
  <si>
    <t>lotstrilogy27@gmail.com</t>
  </si>
  <si>
    <t>014-0347-19</t>
  </si>
  <si>
    <t>klarimore605@gmail.com</t>
  </si>
  <si>
    <t>485-0124-19</t>
  </si>
  <si>
    <t>wolf.fox93747@gmail.com</t>
  </si>
  <si>
    <t>024-0229-19</t>
  </si>
  <si>
    <t>westleysummers25@gmail.com</t>
  </si>
  <si>
    <t>093-0121-19</t>
  </si>
  <si>
    <t>2022mdehning@swinn.k12.ia.us</t>
  </si>
  <si>
    <t>015-0413-19</t>
  </si>
  <si>
    <t>026-0833-19</t>
  </si>
  <si>
    <t>tannerhansen23@gmail.com</t>
  </si>
  <si>
    <t>093-0144-19</t>
  </si>
  <si>
    <t>hudson.quam@decorahvikings.k12.ia.us</t>
  </si>
  <si>
    <t>013-0390-19</t>
  </si>
  <si>
    <t>obriendavid186@gmail.com</t>
  </si>
  <si>
    <t>006-0190-20</t>
  </si>
  <si>
    <t>michelle.pennington@unitypoint.org</t>
  </si>
  <si>
    <t>005-0246-19</t>
  </si>
  <si>
    <t>008-0368-20</t>
  </si>
  <si>
    <t>amysueob@yahoo.com</t>
  </si>
  <si>
    <t>026-0599-20</t>
  </si>
  <si>
    <t>wheelerleej@gmail.com</t>
  </si>
  <si>
    <t>008-0434-20</t>
  </si>
  <si>
    <t>alsobolik@gmail.com</t>
  </si>
  <si>
    <t>014-0287-20</t>
  </si>
  <si>
    <t>nathan.recker2002@gmail.com</t>
  </si>
  <si>
    <t>026-0722-20</t>
  </si>
  <si>
    <t>amhkle@icloud.com</t>
  </si>
  <si>
    <t>001-0600-20</t>
  </si>
  <si>
    <t>makailawashington@yahoo.com</t>
  </si>
  <si>
    <t>001-0604-20</t>
  </si>
  <si>
    <t>Kc0enr@outlook.com</t>
  </si>
  <si>
    <t>008-0536-20</t>
  </si>
  <si>
    <t>024-0191-20</t>
  </si>
  <si>
    <t>lburbey@gmail.com</t>
  </si>
  <si>
    <t>007-0291-20</t>
  </si>
  <si>
    <t>toniawoehler@gmail.com</t>
  </si>
  <si>
    <t>001-0631-20</t>
  </si>
  <si>
    <t>eric_bendickson@yahoo.com</t>
  </si>
  <si>
    <t>001-0632-20</t>
  </si>
  <si>
    <t>hiperdcaster@gmail.com</t>
  </si>
  <si>
    <t>011-0260-20</t>
  </si>
  <si>
    <t>stephendiehl68@gmail.com</t>
  </si>
  <si>
    <t>001-0635-20</t>
  </si>
  <si>
    <t>jbooher1010@gmail.com</t>
  </si>
  <si>
    <t>093-0125-20</t>
  </si>
  <si>
    <t>derikhartz.dh@gmail.com</t>
  </si>
  <si>
    <t>008-0566-20</t>
  </si>
  <si>
    <t>sjleibold@gmail.com</t>
  </si>
  <si>
    <t>024-0210-20</t>
  </si>
  <si>
    <t>sharonsteinkamp@gmail.com</t>
  </si>
  <si>
    <t>332-0096-20</t>
  </si>
  <si>
    <t>21pullenco@gmail.com</t>
  </si>
  <si>
    <t>007-0338-20</t>
  </si>
  <si>
    <t>morgans20@live.siouxcityschools.com</t>
  </si>
  <si>
    <t>014-0413-20</t>
  </si>
  <si>
    <t>007-0361-20</t>
  </si>
  <si>
    <t>026-0004-21</t>
  </si>
  <si>
    <t>ahiret@balanceautism.org</t>
  </si>
  <si>
    <t>026-0008-21</t>
  </si>
  <si>
    <t>4opaldreams@gmail.com</t>
  </si>
  <si>
    <t>015-0008-21</t>
  </si>
  <si>
    <t>sheiladraper75@hotmail.com</t>
  </si>
  <si>
    <t>026-0062-21</t>
  </si>
  <si>
    <t>mlkjp0322@gmail.com</t>
  </si>
  <si>
    <t>013-0031-21</t>
  </si>
  <si>
    <t>jake.hesselman@gmail.com</t>
  </si>
  <si>
    <t>008-0031-21</t>
  </si>
  <si>
    <t>013-0040-21</t>
  </si>
  <si>
    <t>thezirkers@msn.com</t>
  </si>
  <si>
    <t>014-0042-21</t>
  </si>
  <si>
    <t>catbreedlove@gmail.com</t>
  </si>
  <si>
    <t>003-0027-21</t>
  </si>
  <si>
    <t>biggiesmall94@gmail.com</t>
  </si>
  <si>
    <t>001-0114-21</t>
  </si>
  <si>
    <t>trevorjonesfan06@gmail.com</t>
  </si>
  <si>
    <t>013-0046-21</t>
  </si>
  <si>
    <t>003-0036-21</t>
  </si>
  <si>
    <t>026-0108-21</t>
  </si>
  <si>
    <t>whitehawk9192@gmail.com</t>
  </si>
  <si>
    <t>008-0085-21</t>
  </si>
  <si>
    <t>odessakerr84@gmail.com</t>
  </si>
  <si>
    <t>024-0020-21</t>
  </si>
  <si>
    <t>crberry1987@gmail.com</t>
  </si>
  <si>
    <t>026-0149-21</t>
  </si>
  <si>
    <t>sena.hauenstein@gmail.com</t>
  </si>
  <si>
    <t>001-0175-21</t>
  </si>
  <si>
    <t>008-0103-21</t>
  </si>
  <si>
    <t>026-0170-21</t>
  </si>
  <si>
    <t>dclayton736@gmail.com</t>
  </si>
  <si>
    <t>003-0070-21</t>
  </si>
  <si>
    <t>wishwg1@gmail.com</t>
  </si>
  <si>
    <t>497-0004-21</t>
  </si>
  <si>
    <t>anggaedwards9@gmail.com</t>
  </si>
  <si>
    <t>008-0134-21</t>
  </si>
  <si>
    <t>t.corkery74.tc@gmail.com</t>
  </si>
  <si>
    <t>011-0085-21</t>
  </si>
  <si>
    <t>austinfraise@yahoo.com</t>
  </si>
  <si>
    <t>001-0245-21</t>
  </si>
  <si>
    <t>karakluesner.1@yahoo.com</t>
  </si>
  <si>
    <t>008-0184-21</t>
  </si>
  <si>
    <t>destinymarie0306@gmail.com</t>
  </si>
  <si>
    <t>003-0118-21</t>
  </si>
  <si>
    <t>shannonsonger5@gmail.com</t>
  </si>
  <si>
    <t>497-0006-21</t>
  </si>
  <si>
    <t>carriemclead@gmail.com</t>
  </si>
  <si>
    <t>024-0044-21</t>
  </si>
  <si>
    <t>21wilczj@gmail.com</t>
  </si>
  <si>
    <t>078-0038-21</t>
  </si>
  <si>
    <t>065-0053-21</t>
  </si>
  <si>
    <t>gmmoget@mtcnet.net</t>
  </si>
  <si>
    <t>015-0126-21</t>
  </si>
  <si>
    <t>pitwithabow@gmail.com</t>
  </si>
  <si>
    <t>014-0148-21</t>
  </si>
  <si>
    <t>kaimsyndicate@gmail.com</t>
  </si>
  <si>
    <t>005-0075-21</t>
  </si>
  <si>
    <t>jasmo2291@gmail.com</t>
  </si>
  <si>
    <t>015-0133-21</t>
  </si>
  <si>
    <t>claytoncullom@gmail.com</t>
  </si>
  <si>
    <t>001-0369-21</t>
  </si>
  <si>
    <t>marthay620@gmail.com</t>
  </si>
  <si>
    <t>001-0372-21</t>
  </si>
  <si>
    <t>redeemed472003@yahoo.com</t>
  </si>
  <si>
    <t>024-0058-21</t>
  </si>
  <si>
    <t>gregpwendt@sbcglobal.net</t>
  </si>
  <si>
    <t>093-0090-21</t>
  </si>
  <si>
    <t>mlpfever13@gmail.com</t>
  </si>
  <si>
    <t>003-0185-21</t>
  </si>
  <si>
    <t>wjtruscott@comcast.net</t>
  </si>
  <si>
    <t>001-0409-21</t>
  </si>
  <si>
    <t>coffeebyjeeves@gmail.com</t>
  </si>
  <si>
    <t>026-0423-21</t>
  </si>
  <si>
    <t>robinadelman03@gmail.com</t>
  </si>
  <si>
    <t>003-0194-21</t>
  </si>
  <si>
    <t>milosiskind@gmail.com</t>
  </si>
  <si>
    <t>026-0461-21</t>
  </si>
  <si>
    <t>mlgjr59.mg@gmail.com</t>
  </si>
  <si>
    <t>007-0186-21</t>
  </si>
  <si>
    <t>dmbunkers@outlook.com</t>
  </si>
  <si>
    <t>026-0504-21</t>
  </si>
  <si>
    <t>008-0336-21</t>
  </si>
  <si>
    <t>scottarmstrong736@gmail.com</t>
  </si>
  <si>
    <t>042-0130-21</t>
  </si>
  <si>
    <t>mbbjgraham@hotmail.com</t>
  </si>
  <si>
    <t>003-0233-21</t>
  </si>
  <si>
    <t>patrickward1998@gmail.com</t>
  </si>
  <si>
    <t>008-0342-21</t>
  </si>
  <si>
    <t>Jeanne157932@gmail.com</t>
  </si>
  <si>
    <t>025-0061-21</t>
  </si>
  <si>
    <t>ireneeyvonnecox1976@gmail.com</t>
  </si>
  <si>
    <t>014-0218-21</t>
  </si>
  <si>
    <t>001-0485-21</t>
  </si>
  <si>
    <t>izaac.saddoris@gmail.com</t>
  </si>
  <si>
    <t>014-0234-21</t>
  </si>
  <si>
    <t>011-0169-21</t>
  </si>
  <si>
    <t>vickiehoush@gmail.com</t>
  </si>
  <si>
    <t>093-0099-21</t>
  </si>
  <si>
    <t>weipert2002@gmail.com</t>
  </si>
  <si>
    <t>024-0089-21</t>
  </si>
  <si>
    <t>jimdevoogd@gmail.com</t>
  </si>
  <si>
    <t>014-0242-21</t>
  </si>
  <si>
    <t>jillian.beeh@gmail.com</t>
  </si>
  <si>
    <t>006-0365-21</t>
  </si>
  <si>
    <t>sabrinahigginbottom43@mail.com</t>
  </si>
  <si>
    <t>011-0180-21</t>
  </si>
  <si>
    <t>keaganmakenzi98@gmail.com</t>
  </si>
  <si>
    <t>005-0142-21</t>
  </si>
  <si>
    <t>scottmacek@yahoo.com</t>
  </si>
  <si>
    <t>015-0208-21</t>
  </si>
  <si>
    <t>amaier1382@gmail.com</t>
  </si>
  <si>
    <t>006-0390-21</t>
  </si>
  <si>
    <t>NickHughes64.NH@gmail.com</t>
  </si>
  <si>
    <t>006-0394-21</t>
  </si>
  <si>
    <t>hbailey1855@gmail.com</t>
  </si>
  <si>
    <t>014-0270-21</t>
  </si>
  <si>
    <t>065-0101-21</t>
  </si>
  <si>
    <t>kap_elevworks@yahoo.com</t>
  </si>
  <si>
    <t>013-0373-21</t>
  </si>
  <si>
    <t>sisopixie@aol.com</t>
  </si>
  <si>
    <t>008-0403-21</t>
  </si>
  <si>
    <t>sallyanndenton53@gmail.com</t>
  </si>
  <si>
    <t>453-0074-21</t>
  </si>
  <si>
    <t>pamsdroid1164@gmail.com</t>
  </si>
  <si>
    <t>026-0697-21</t>
  </si>
  <si>
    <t>332-0123-21</t>
  </si>
  <si>
    <t>gullingglynn606@gmail.com</t>
  </si>
  <si>
    <t>015-0250-21</t>
  </si>
  <si>
    <t>011-0224-21</t>
  </si>
  <si>
    <t>lucaszzz4z0@gmail.com</t>
  </si>
  <si>
    <t>001-0623-21</t>
  </si>
  <si>
    <t>isaiah.jones1972@gmail.com</t>
  </si>
  <si>
    <t>014-0318-21</t>
  </si>
  <si>
    <t>009-0072-21</t>
  </si>
  <si>
    <t>026-0722-21</t>
  </si>
  <si>
    <t>481-0059-21</t>
  </si>
  <si>
    <t>vap1989@live.com</t>
  </si>
  <si>
    <t>014-0326-21</t>
  </si>
  <si>
    <t>moss.sloth@gmail.com</t>
  </si>
  <si>
    <t>003-0352-21</t>
  </si>
  <si>
    <t>gzmfmly1@gmail.com</t>
  </si>
  <si>
    <t>099-0055-21</t>
  </si>
  <si>
    <t>marshawnrushing@icloud.com</t>
  </si>
  <si>
    <t>024-0153-21</t>
  </si>
  <si>
    <t>haynes.melissa103@gmail.com</t>
  </si>
  <si>
    <t>007-0008-22</t>
  </si>
  <si>
    <t>ryanwunner098@gmail.com</t>
  </si>
  <si>
    <t>093-0004-22</t>
  </si>
  <si>
    <t>thesilverdragon24350@gmail.com</t>
  </si>
  <si>
    <t>026-0026-22</t>
  </si>
  <si>
    <t>ttorode16@gmail.com</t>
  </si>
  <si>
    <t>003-0027-22</t>
  </si>
  <si>
    <t>darkfoxx1993@gmail.com</t>
  </si>
  <si>
    <t>571-0006-22</t>
  </si>
  <si>
    <t>014-0022-22</t>
  </si>
  <si>
    <t>kathrynoestreich@gmail.com</t>
  </si>
  <si>
    <t>001-0052-22</t>
  </si>
  <si>
    <t>008-0050-22</t>
  </si>
  <si>
    <t>jjonwalt@hotmail.com</t>
  </si>
  <si>
    <t>001-0077-22</t>
  </si>
  <si>
    <t>jpaint21@gmail.com</t>
  </si>
  <si>
    <t>065-0017-22</t>
  </si>
  <si>
    <t>ross.huizenga@gmail.com</t>
  </si>
  <si>
    <t>006-0075-22</t>
  </si>
  <si>
    <t>joni-2@hotmail.com</t>
  </si>
  <si>
    <t>007-0074-22</t>
  </si>
  <si>
    <t>homer72010@gmail.com</t>
  </si>
  <si>
    <t>026-0248-22</t>
  </si>
  <si>
    <t>Abigail Hovey</t>
  </si>
  <si>
    <t>092-0016-22</t>
  </si>
  <si>
    <t>024-0051-22</t>
  </si>
  <si>
    <t>tori.johnson95@gmail.com</t>
  </si>
  <si>
    <t>093-0037-22</t>
  </si>
  <si>
    <t>dbd300@hotmail.com</t>
  </si>
  <si>
    <t>006-0132-22</t>
  </si>
  <si>
    <t>prupe@tjiowa.com</t>
  </si>
  <si>
    <t>024-0068-22</t>
  </si>
  <si>
    <t>arbennett8892@gmail.com</t>
  </si>
  <si>
    <t>001-0220-22</t>
  </si>
  <si>
    <t>ghostwolfman989@gmail.com</t>
  </si>
  <si>
    <t>026-0394-22</t>
  </si>
  <si>
    <t>tvh1087@aol.com</t>
  </si>
  <si>
    <t>006-0151-22</t>
  </si>
  <si>
    <t>rteater@iowatelecom.net</t>
  </si>
  <si>
    <t>026-0448-22</t>
  </si>
  <si>
    <t>stevenkolacia.icloud.icloud@gmail.com</t>
  </si>
  <si>
    <t>093-0055-22</t>
  </si>
  <si>
    <t>005-0090-22</t>
  </si>
  <si>
    <t>tazman1464@gmail.com</t>
  </si>
  <si>
    <t>015-0151-22</t>
  </si>
  <si>
    <t>marklenz1024@gmail.com</t>
  </si>
  <si>
    <t>093-0066-22</t>
  </si>
  <si>
    <t>crg_allert@yahoo.com</t>
  </si>
  <si>
    <t>571-0037-22</t>
  </si>
  <si>
    <t>008-0328-22</t>
  </si>
  <si>
    <t>sandy.henriksen@gmail.com</t>
  </si>
  <si>
    <t>042-0141-22</t>
  </si>
  <si>
    <t>lhfttmab21@gmail.com</t>
  </si>
  <si>
    <t>332-0105-22</t>
  </si>
  <si>
    <t>026-0746-22</t>
  </si>
  <si>
    <t>drewopperman@gmail.com</t>
  </si>
  <si>
    <t>Not really an issue for consumers with successful placements.  But those without a placement is 1 in 5.</t>
  </si>
  <si>
    <t>Not really an issue for consumers with successful placements.  But those without a placement is less than 1 in 5.</t>
  </si>
  <si>
    <t xml:space="preserve">Not really an issue for consumers with successful placements. But less than 1 in 7 for unsuccessful closures </t>
  </si>
  <si>
    <t xml:space="preserve">Not really an issue for consumers with successful placements. But 1 in 7 for unsuccessful closures </t>
  </si>
  <si>
    <t>Not really an issue for consumers with successful placements. But those without a placement is 1 in 5.</t>
  </si>
  <si>
    <t>Not really an issue for consumers with successful placements.  But those without a placement is 1 in 6.</t>
  </si>
  <si>
    <t>Not really an issue for consumers with successful placements.  But nearly 1 in 7 for unsuccessful placements</t>
  </si>
  <si>
    <t>Not really an issue for consumers with successful placements.  But 1 in 7 or unsuccessful placements</t>
  </si>
  <si>
    <t>Not really an issue for consumers with successful placements.  And those without a placement is over 1 in 6.</t>
  </si>
  <si>
    <t>Pretty high negative of those not emloyed 40%</t>
  </si>
  <si>
    <t>Not really an issue for consumers with successful placements.  But, those without a placement is nearly 1 in 4.</t>
  </si>
  <si>
    <t>1 in 5 of those consumers not placed with a job were not satisfied with their VR process.</t>
  </si>
  <si>
    <t>Successful: 95%, 219 of 229 were satisfied with the way their counselor related to them.</t>
  </si>
  <si>
    <t>Successful: 5%, 10 of 229 were NOT satisfied with the way their counselor related to them.</t>
  </si>
  <si>
    <t>Unsuccessful: 79%, 77 of 97 were satisfied with the way their counselor related to them.</t>
  </si>
  <si>
    <t>Unsuccessful: 20%, 20 of 97 were NOT satisfied with the way their counselor related to them.</t>
  </si>
  <si>
    <t>Successful: 96%, 220 of 229 had counselors who took their concerns seriously.</t>
  </si>
  <si>
    <t>Successful: 4%, 9 of 229 had counselors who did NOT take their concerns seriously.</t>
  </si>
  <si>
    <t>Unsuccessful: 82%, 79 of 97 had counselors who took their concerns seriously.</t>
  </si>
  <si>
    <t>Unsuccessful: 18%, 18 of 97 had counselors who did NOT take their concerns seriously.</t>
  </si>
  <si>
    <t>Successful: 1% 3 of 9 of 229 had counselors that did NOT take the time to listen to my concerns.</t>
  </si>
  <si>
    <t>Unsuccessful: 14% of 14 of 18 of 97 had counselors that did NOT take the time to listen to my concerns.</t>
  </si>
  <si>
    <t>Successful: 2%, 5 of 9 of 229 had counselor did NOT take their opinion into consideration and/ or  responded appropriately</t>
  </si>
  <si>
    <t>Unsuccessful: 15% of 15 of 18 of 97 had counselor did NOT take their opinion into consideration and/ or responded appropriately</t>
  </si>
  <si>
    <t>Successful: 2%, 4 of 9 of 229 had counselors who were NOT open to their expressing their complaints</t>
  </si>
  <si>
    <t>Unsuccessful: 15%, 15 of 18 of 97 had counselors who were NOT open to their expressing their complaints</t>
  </si>
  <si>
    <t>Successful: 93%, 213 of 229 had counselors who understood their needs</t>
  </si>
  <si>
    <t>Successful: 6%, 13 of 229 had counselors who did NOT understand their needs</t>
  </si>
  <si>
    <t>Unsuccessful: 77%, 75 of 97 had counselors who understood their needs</t>
  </si>
  <si>
    <t>Unsuccessful: 22%, 22 of 97  had counselors who did NOT understand their needs</t>
  </si>
  <si>
    <t>Successful: 3%, 6 of 13 of 229 did NOT find counselor's advice useful</t>
  </si>
  <si>
    <t>Unsuccessful: 19%, 18 of 22 of 97 did NOT find counselor's advice useful</t>
  </si>
  <si>
    <t>Successful: 3%, 7 of 13 of 229 did NOT believe counselor helped them find resources in the community</t>
  </si>
  <si>
    <t>Unsuccessful: 20%, 19 of 22 of 97 did NOT believe counselor helped them find resoureces in the community</t>
  </si>
  <si>
    <t>Successful: 4%, 9 of 13 of 229 did  NOT find that their counselor helped them to challenge their expectations of themselves</t>
  </si>
  <si>
    <t>Unsuccessful: 19%, 18 of 22 of 97 did  NOT find that their counselor helped them to challenge their expectations of themselves</t>
  </si>
  <si>
    <t>Successful: 93% 214 of 229 felt their counselors treated with respect</t>
  </si>
  <si>
    <t>Successful: 3% 7 of 229 felt their counselors did NOT treat them with respect</t>
  </si>
  <si>
    <t>Unsuccessful: 87% 85 of 97 felt their counselors treated with respect</t>
  </si>
  <si>
    <t>Unsuccessful: 11% 11 of 97 felt their counselors did NOT treat them with respect</t>
  </si>
  <si>
    <t>Successful: 2%, 5 of 6 of 229 had counselors who did NOT respond timely</t>
  </si>
  <si>
    <t>Unsuccessful: 10%, 10 of 11 of 97 had counselors who did NOT respond timely</t>
  </si>
  <si>
    <t>Successful: 2%, 5 of 6 of 229 had counselors who did NOT act in their best interest</t>
  </si>
  <si>
    <t>Unsuccessful: 10%, 10 of 11 of 97 had counselors who did NOT act in their best interest</t>
  </si>
  <si>
    <t>Successful: 1%, 1 of 6 of 229 had counselors who did NOT respect their culture</t>
  </si>
  <si>
    <t>Unsuccessful: 7%, 7 of 11 of 97 had counselors who did NOT respect their culture</t>
  </si>
  <si>
    <t>Successful: 92%, 210 of 229 had counselors involved in their decision-making</t>
  </si>
  <si>
    <t>Successful: 5%, 11 of 229 had counselors NOT involved in their decision-making</t>
  </si>
  <si>
    <t>Unsuccessful: 81%, 79 of 97 had counselors involved in their decision-making</t>
  </si>
  <si>
    <t>Unsuccessful: 16%, 16 of 97 had counselors NOT involved in their decision-making</t>
  </si>
  <si>
    <t>Successful: 2%, 4 of 11 of 229 did NOT feel the counselors helped them focus on employment</t>
  </si>
  <si>
    <t>Unsuccessful: 13%, 13 of 16 of 97 did NOT feel the counselors helped them focus on employment</t>
  </si>
  <si>
    <t>Successful: 3%, 8 of 11 of 229 did NOT feel the counselors helped them explore options</t>
  </si>
  <si>
    <t>Unsuccessful: 14%, 14 of 16 of 97 did NOT feel the counselors helped them explore options</t>
  </si>
  <si>
    <t>Successful: 3%, 8 of 11 of 229 did NOT feel the counselors helped them understand the pros and cons of their decisions</t>
  </si>
  <si>
    <t>Unsuccessful: 15%, 15 of 16 of 97 did NOT feel the counselors helped them understand the pros and cons of their decisions</t>
  </si>
  <si>
    <t>Successful: 84%, 194 of 229 felt satisfied with how well VR prepared them for employment</t>
  </si>
  <si>
    <t>Successful: 11%, 24 of 229  felt UNsatisfied with how well VR prepared them for employment</t>
  </si>
  <si>
    <t>Unsuccessful: 69%, 67 of 97 felt satisfied with how well VR prepared them for employment</t>
  </si>
  <si>
    <t>Unsuccessful: 29%, 28 of 97  felt UNsatisfied with how well VR prepared them for employment</t>
  </si>
  <si>
    <t>Successful: 3%, 7 of 24 of 229 was NOT advised about their rights and responsibilities</t>
  </si>
  <si>
    <t>Unsuccessful: 8%, 8 of 28 of 97 was NOT advised about their rights and responsibilities</t>
  </si>
  <si>
    <t>Successful: 4%, 10 of 24 of 229 Unable to make informed choices about the services needed</t>
  </si>
  <si>
    <t>Unsuccessful: 12%, 12 of 28 of 97 Unable to make informed choices about the services needed</t>
  </si>
  <si>
    <t xml:space="preserve">Successful: 5%, 10 of 24 of 229 UNable to make informed choices about the provider of services </t>
  </si>
  <si>
    <t>Unsuccessful: 14%, 14 of 28 of 97 UNable to make informed choices about the provider of services</t>
  </si>
  <si>
    <t>Successful: 4%, 9 of 24 of 229 did NOT receive all agreed upon services</t>
  </si>
  <si>
    <t>Unsuccessful: 13%, 13 of 28 of 97 did NOT receive all agreed upon services</t>
  </si>
  <si>
    <t>Not really an issue for consumers with successful placements.  And those without a placement is 1 in 7.</t>
  </si>
  <si>
    <t>Not really an issue for consumers. But 1 in 7 for unsuccessful</t>
  </si>
  <si>
    <t>Successful: 6%, 14 of 24 of 229 did NOT receive all agreed upon services in the time frame that met their needs</t>
  </si>
  <si>
    <t>Successful: 85%, 195 of 229 employed or more prepared for employment because of the services they received</t>
  </si>
  <si>
    <t>Successful: 11%, 24 of 229 employed but do NOT percieve this was because of the services they received</t>
  </si>
  <si>
    <t>Unsuccessful: 55%, 53 of 97 not employed or more preparedness for employment because of the services they received</t>
  </si>
  <si>
    <t>Unsuccessful: 40%, 39 of 97 not employed and do NOT perceive preparedness because of the services received</t>
  </si>
  <si>
    <t xml:space="preserve">Successful: 6%, 13 of 24 of 229 stated that services received did NOT help to decrease, accommodate, and/or remove my disability related barriers </t>
  </si>
  <si>
    <t xml:space="preserve">Unsuccessful: 23%, 22 of 39 of 97 stated that services received did NOT help to decrease, accommodate, and/or remove my disability related barriers </t>
  </si>
  <si>
    <t>Successful: 2%, 5 of 24 of 229 could NOT independently search for employment</t>
  </si>
  <si>
    <t>Unsuccessful: 9%, 9 of 39 of 97 could NOT independently search for employment</t>
  </si>
  <si>
    <t>Successful: 3%, 8 of 24 of 229 Unable to identify and request appropriate accommodations from an employer</t>
  </si>
  <si>
    <t>Unsuccessful: 11%, 11 of 39 of 97 Unable to identify and request appropriate accommodations from an employer</t>
  </si>
  <si>
    <t>Successful: 3%, 8 of 24 of 229 did NOT obtain or are NOT prepared for a job that matches my skills/intersts</t>
  </si>
  <si>
    <t>Unsuccessful: 16%, 16 of 39 of 97 did NOT obtain or are NOT prepared for a job that matches my skills/intersts</t>
  </si>
  <si>
    <t>Not really an issue for consumers with successful placements.  But, those without a placement is 1 in 6.</t>
  </si>
  <si>
    <t>Successful: 7%, 15 of 24 of 229 did NOT obtain the job goal that was identifed in my IPE</t>
  </si>
  <si>
    <t>Unsuccessful: 27%, 26 of 39 of 97 did NOT obtain the job goal that was identifed in my IPE</t>
  </si>
  <si>
    <t>Successful: 40%, 90 of 229 needed assistance from other agencies not directly related to employment</t>
  </si>
  <si>
    <t>Successful: 54%, 123 of 229 did NOT need assistance from other agencies not directly related to employment</t>
  </si>
  <si>
    <t>Unsuccessful: 35%, 34 of 97 needed assistance from other agencies not directly related to employment</t>
  </si>
  <si>
    <t>Unsuccessful: 59%, 58 of 97 did NOT need assistance from other agencies not directly related to employment</t>
  </si>
  <si>
    <t>Successful: 3%, 6 of 90 of 229 were NOT provided information about other programs that would be able to assist me with non-employment related needs</t>
  </si>
  <si>
    <t>Unsuccessful: 5%, 5 of 34 of 97 were NOT provided information about other programs that would be able to assist me with non-employment related needs</t>
  </si>
  <si>
    <t>Successful: 3%, 8 of 90 of 229 were NOT referred to other programs for assistance with my non-employment related needs</t>
  </si>
  <si>
    <t>Unsuccessful: 8%, 8 of 34 of 97 were NOT referred to other programs for assistance with my non-employment related needs</t>
  </si>
  <si>
    <t>Successful: 3%, 7 of 90 of 229 did NOT receive the assistance for which I was referred</t>
  </si>
  <si>
    <t>Unsuccessful: 9%, 9 of 34 of 97 did NOT receive the assistance for which I was referred</t>
  </si>
  <si>
    <t xml:space="preserve">Successful: 11%, 18 of 90 of 229 currently waiting for assistance from the program to which they were referred </t>
  </si>
  <si>
    <t>Successful: 11%, 25 of 90 of 229 NOT currently waiting for assistance from the program to which they were referred</t>
  </si>
  <si>
    <t>Unsuccessful: 7%, 7 of 34 of 97 currently waiting for assistance from the program to which they were referred</t>
  </si>
  <si>
    <t>Unsuccessful: 13%, 13 of 34 of 97 NOT  currently waiting for assistance from the program to which they were referred</t>
  </si>
  <si>
    <t>Successful: 7%, 17 of 90 of 229 denied the assistance for which they were referred</t>
  </si>
  <si>
    <t>Successful: 13%, 29 of 90 of 229 were NOT denied the assistance for which they were referred (granted the assistance)</t>
  </si>
  <si>
    <t>Unsuccessful: 4%, 4 of 34 of 97 denied the assistance for which they were referred</t>
  </si>
  <si>
    <t>Unsuccessful: 14%, 14 of 34 of 97 were NOT denied the assistance for which they were referred (granted the assistance)</t>
  </si>
  <si>
    <t>Successful: 21%, 48 of 229 needed other services before they could become employed</t>
  </si>
  <si>
    <t>Successful: 70%, 160 of 229 did NOT need other services before they could become employed</t>
  </si>
  <si>
    <t>Unsuccessful: 29%, 28 of 97 needed other services before they could become employed</t>
  </si>
  <si>
    <t>Unsuccessful: 62%, 61 of 97 did NOT need other services before they could become employed</t>
  </si>
  <si>
    <t>Successful: 87%, 198 of 229 had satisfactory experiences throughout the vocational rehabilitation process</t>
  </si>
  <si>
    <t>Successful: 6%, 14 of 229 did NOT have satisfactory experiences throughout the vocational rehabilitation process</t>
  </si>
  <si>
    <t>Unsuccessful: 73%, 71 of 97 had satisfactory experiences throughout the vocational rehabilitation process</t>
  </si>
  <si>
    <t>Unsuccessful: 20%, 20 of 97 did NOT have satisfactory experiences throughout the vocational rehabilitation process</t>
  </si>
  <si>
    <t>Successful: 89%, 203 of 229 had their introduction to the vocational rehabilitation process be adequate enough when they applied for services</t>
  </si>
  <si>
    <t>Successful: 4%, 10 of 229 did NOT have their introduction to the vocational rehabilitation process be adequate enough when they applied for services</t>
  </si>
  <si>
    <t>Unsuccessful: 82%, 79 of 97 had their introduction to the vocational rehabilitation process be adequate enough when they applied for services</t>
  </si>
  <si>
    <t>Unsuccessful: 12%, 12 of 97 did NOT have their introduction to the vocational rehabilitation process be adequate enough when they applied for services</t>
  </si>
  <si>
    <t>1 in 8 of those consumers not placed with a job were not satisfied with their VR process.</t>
  </si>
  <si>
    <t>Successful: 1%, 3 of 10 of 229 staff did NOT explain that employment is the purpose of services</t>
  </si>
  <si>
    <t>Unsuccessful: 5%, 5 of 12 of 97 staff did NOT explain that employment is the purpose of services</t>
  </si>
  <si>
    <t>Successful: 2%, 5 of 10 of 229 staff did NOT explain the process that would follow</t>
  </si>
  <si>
    <t>Unsuccessful: 10%, 10 of 12 of 97 staff did NOT explain the process that would follow</t>
  </si>
  <si>
    <t>Successful: 2%, 4 of 10 of 229 staff did NOT explain their rights and responsibilities as a partner in the process</t>
  </si>
  <si>
    <t>Unsuccessful: 7%, 7 of 12 of 97 staff did NOT explain their rights and responsibilities as a partner in the process</t>
  </si>
  <si>
    <t>Successful: 3%, 6 of 10 of 229 staff did NOT explain what services were available to help them become employed</t>
  </si>
  <si>
    <t>Unsuccessful: 9%, 9 of 12 of 97 staff did NOT explain what services were available to help them become employed</t>
  </si>
  <si>
    <t>Successful: 89%, 204 of 229 had their eligibility determination process go smoothly</t>
  </si>
  <si>
    <t>Successful: 3%, 7 of 229 did NOT have their eligibility determination process go smoothly</t>
  </si>
  <si>
    <t>Unsuccessful: 86%, 83 of 97 had their eligibility determination process go smoothly</t>
  </si>
  <si>
    <t>Unsuccessful: 7%, 7 of 97 did NOT have their eligibility determination process go smoothly</t>
  </si>
  <si>
    <t>Successful: 81%, 186 of 229 did  have staff explain why eligiblity was needed</t>
  </si>
  <si>
    <t>Successful: 3%, 8 of 229 did NOT have staff explain why eligiblity was needed</t>
  </si>
  <si>
    <t>Unsuccessful: 74%, 72 of 97 did  have staff explain why eligibilty was needed</t>
  </si>
  <si>
    <t>Unsuccessful: 6%, 6 of 97 did NOT have staff explain why eligibilty was needed</t>
  </si>
  <si>
    <t>Successful: 82%, 187 of 229 did have staff explain steps to determine eligiblity</t>
  </si>
  <si>
    <t>Successful: 3%, 7 of 229 did NOT have staff explain steps to determine eligiblity</t>
  </si>
  <si>
    <t>Unsuccessful: 76%, 74 of 97 did  have staff explain steps to determine eligibility</t>
  </si>
  <si>
    <t>Unsuccessful: 6%, 6 of 97 did NOT have staff explain steps to determine eligibility</t>
  </si>
  <si>
    <t>Successful: 81%, 185 of 229 staff did inform them of their need to be involved in the eligibility determination process</t>
  </si>
  <si>
    <t>Successful: 3%, 8 of 229 staff did NOT inform them of their need to be involved in the eligibility determination process</t>
  </si>
  <si>
    <t>Unsuccessful: 68%, 66 of 97 staff did inform them of their need to be involved in the eligibility determination process</t>
  </si>
  <si>
    <t>Unsuccessful: 9%, 9 of 97 staff did NOT inform them of their need to be involved in the eligibility determination process</t>
  </si>
  <si>
    <t>Successful: 84%, 193 of 229 staff did notify them of when they were eligible to begin services</t>
  </si>
  <si>
    <t>Successful: 1%, 3 of 229 staff did NOT notify them of when they were eligible to begin services</t>
  </si>
  <si>
    <t>Unsuccessful: 74%, 72 of 97 staff did notify them of when they were eligible to begin services</t>
  </si>
  <si>
    <t>Unsuccessful: 7%, 7 of 97 staff did NOT notify them of when they were eligible to begin services</t>
  </si>
  <si>
    <t>Successful: 84%, 193 of 229 had their IPE carried out to their satisfaction</t>
  </si>
  <si>
    <t>Successful: 6%, 15 of 229 did NOT have their IPE carried out to their satisfaction</t>
  </si>
  <si>
    <t>Unsuccessful: 61%, 59 of 97 had their IPE carried out to their satisfaction</t>
  </si>
  <si>
    <t>Unsuccessful: 29%, 28 of 97 did NOT have their IPE carried out to their satisfaction</t>
  </si>
  <si>
    <t>Noticeable difference in those placed vs not placed 29% to 6%</t>
  </si>
  <si>
    <t>Successful: 6%, 13 of 15 of 229 NOT all services on their plan were needed for them to achieve their employment goal</t>
  </si>
  <si>
    <t>Unsuccessful: 20%, 20 of 28 of 97 NOT all services on their plan were needed for them to achieve their employment goal</t>
  </si>
  <si>
    <t>Not really an issue for consumers with successful placements.  But, those without a placement is 1 in 5.</t>
  </si>
  <si>
    <t>Successful: 5%, 11 of 15 of 229 NOTeveryone involved in their plan worked well together to address issue</t>
  </si>
  <si>
    <t>Unsuccessful: 20%, 20 of 28 of 97 NOTeveryone involved in their plan worked well together to address issue</t>
  </si>
  <si>
    <t>Successful: 3%, 8 of 15 of 229 changes to their plans were NOT considered or made when appropriate</t>
  </si>
  <si>
    <t>Unsuccessful: 14%, 14 of 28 of 97 changes to their plans were NOT considered or made when appropriate</t>
  </si>
  <si>
    <t xml:space="preserve">Not really an issue for consumers with successful placements. But those without a placement is 1 in 7. </t>
  </si>
  <si>
    <t>Successful: 3%, 6 of 15 of 229 vendors and community partners did NOT provide services consistent with their plan</t>
  </si>
  <si>
    <t>Unsuccessful: 12%, 12 of 28 of 97 vendors and community partners did NOT provide services consistent with their plan</t>
  </si>
  <si>
    <t>Successful: 87%, 200 of 229 their disabling condition was adequately accommodated</t>
  </si>
  <si>
    <t>Successful: 4%, 10 of 229 their disabling condition was NOT adequately accommodated</t>
  </si>
  <si>
    <t>Unsuccessful: 77%, 75 of 97 their disabling condition was adequately accommodated</t>
  </si>
  <si>
    <t>Unsuccessful: 14%, 14 of 97 their disabling condition was NOT adequately accommodated</t>
  </si>
  <si>
    <t>Not really an issue for consumers with successful placements.  But, those without a placement is 1 in 7.</t>
  </si>
  <si>
    <t>Successful: 2%, 4 of 10 of 229 staff did NOT schedule appointments in accessible locations</t>
  </si>
  <si>
    <t>Unsuccessful: 6%, 6 of 14 of 97 staff did NOT schedule appointments in accessible locations</t>
  </si>
  <si>
    <t>Successful: 2%, 5 of 10 of 229 staff did NOT support me as a partner in the planning process</t>
  </si>
  <si>
    <t>Unsuccessful: 11%, 11 of 14 of 97 staff did NOT support me as a partner in the planning process</t>
  </si>
  <si>
    <t>Successful: 1%, 2 of 10 of 229 staff did NOT fulfill their request for written communication</t>
  </si>
  <si>
    <t>Unsuccessful: 4%, 4 of 14 of 97 staff did NOT fulfill their request for written communication</t>
  </si>
  <si>
    <t>Successful: 3%, 8 of 10 of 229 staff did NOT refer them to community partners who understood their disability</t>
  </si>
  <si>
    <t>Unsuccessful: 9%, 9 of 14 of 97 staff did NOT refer them to community partners who understood their disability</t>
  </si>
  <si>
    <t>Not really an issue for consumers with successful placements.  But, those without a placement is nearly 1 in 10.</t>
  </si>
  <si>
    <t>Not really an issue for consumers with successful placements.  Less than 1 of 10 did not think the process for determining elibility for VR services went smoothly.</t>
  </si>
  <si>
    <t>Unsuccessful: 15%, 15 of 28 of 97 did NOT receive all agreed upon services in the time frame that met their needs</t>
  </si>
  <si>
    <t>Not really an issue for consumers with successful placements.  But those without a placement is nearly 1 in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</si>
</sst>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"/>
  </numFmts>
  <fonts count="29" x14ac:knownFonts="1">
    <font>
      <sz val="11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3" borderId="0" applyNumberFormat="0" applyBorder="0" applyAlignment="0" applyProtection="0"/>
    <xf numFmtId="0" fontId="4" fillId="7" borderId="0" applyNumberFormat="0" applyBorder="0" applyAlignment="0" applyProtection="0"/>
    <xf numFmtId="0" fontId="5" fillId="24" borderId="6" applyNumberFormat="0" applyAlignment="0" applyProtection="0"/>
    <xf numFmtId="0" fontId="6" fillId="25" borderId="7" applyNumberFormat="0" applyAlignment="0" applyProtection="0"/>
    <xf numFmtId="0" fontId="7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11" borderId="6" applyNumberFormat="0" applyAlignment="0" applyProtection="0"/>
    <xf numFmtId="0" fontId="13" fillId="0" borderId="11" applyNumberFormat="0" applyFill="0" applyAlignment="0" applyProtection="0"/>
    <xf numFmtId="0" fontId="14" fillId="26" borderId="0" applyNumberFormat="0" applyBorder="0" applyAlignment="0" applyProtection="0"/>
    <xf numFmtId="0" fontId="1" fillId="27" borderId="12" applyNumberFormat="0" applyFont="0" applyAlignment="0" applyProtection="0"/>
    <xf numFmtId="0" fontId="15" fillId="24" borderId="13" applyNumberForma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27" borderId="12" applyNumberFormat="0" applyFont="0" applyAlignment="0" applyProtection="0"/>
    <xf numFmtId="9" fontId="20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3" borderId="2" xfId="0" applyFill="1" applyBorder="1" applyAlignment="1">
      <alignment wrapText="1"/>
    </xf>
    <xf numFmtId="0" fontId="0" fillId="32" borderId="2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8" xfId="0" applyFill="1" applyBorder="1" applyAlignment="1">
      <alignment wrapText="1"/>
    </xf>
    <xf numFmtId="0" fontId="0" fillId="0" borderId="18" xfId="0" applyBorder="1"/>
    <xf numFmtId="0" fontId="22" fillId="0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/>
    <xf numFmtId="0" fontId="0" fillId="0" borderId="31" xfId="0" applyBorder="1" applyAlignment="1">
      <alignment wrapText="1"/>
    </xf>
    <xf numFmtId="0" fontId="0" fillId="0" borderId="32" xfId="0" applyBorder="1"/>
    <xf numFmtId="0" fontId="0" fillId="28" borderId="36" xfId="0" applyFill="1" applyBorder="1" applyAlignment="1">
      <alignment wrapText="1"/>
    </xf>
    <xf numFmtId="0" fontId="0" fillId="35" borderId="37" xfId="0" applyFill="1" applyBorder="1" applyAlignment="1">
      <alignment wrapText="1"/>
    </xf>
    <xf numFmtId="0" fontId="0" fillId="0" borderId="38" xfId="0" applyBorder="1" applyAlignment="1">
      <alignment wrapText="1"/>
    </xf>
    <xf numFmtId="0" fontId="0" fillId="0" borderId="39" xfId="0" applyBorder="1"/>
    <xf numFmtId="0" fontId="0" fillId="0" borderId="27" xfId="0" applyBorder="1"/>
    <xf numFmtId="0" fontId="0" fillId="0" borderId="40" xfId="0" applyBorder="1"/>
    <xf numFmtId="0" fontId="0" fillId="0" borderId="33" xfId="0" applyBorder="1"/>
    <xf numFmtId="0" fontId="0" fillId="0" borderId="38" xfId="0" applyFill="1" applyBorder="1" applyAlignment="1">
      <alignment wrapText="1"/>
    </xf>
    <xf numFmtId="0" fontId="0" fillId="0" borderId="41" xfId="0" applyBorder="1"/>
    <xf numFmtId="0" fontId="0" fillId="0" borderId="30" xfId="0" applyBorder="1"/>
    <xf numFmtId="0" fontId="0" fillId="0" borderId="0" xfId="0"/>
    <xf numFmtId="0" fontId="22" fillId="0" borderId="0" xfId="0" applyFont="1" applyFill="1" applyBorder="1" applyAlignment="1">
      <alignment vertical="center" wrapText="1"/>
    </xf>
    <xf numFmtId="0" fontId="0" fillId="0" borderId="25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2" xfId="0" applyBorder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9" fontId="0" fillId="0" borderId="34" xfId="45" applyNumberFormat="1" applyFont="1" applyBorder="1"/>
    <xf numFmtId="9" fontId="0" fillId="0" borderId="27" xfId="45" applyNumberFormat="1" applyFont="1" applyBorder="1"/>
    <xf numFmtId="9" fontId="0" fillId="0" borderId="33" xfId="45" applyNumberFormat="1" applyFont="1" applyBorder="1"/>
    <xf numFmtId="9" fontId="0" fillId="0" borderId="39" xfId="45" applyNumberFormat="1" applyFont="1" applyBorder="1"/>
    <xf numFmtId="9" fontId="0" fillId="0" borderId="18" xfId="45" applyNumberFormat="1" applyFont="1" applyBorder="1"/>
    <xf numFmtId="0" fontId="0" fillId="0" borderId="0" xfId="0"/>
    <xf numFmtId="0" fontId="0" fillId="0" borderId="0" xfId="0"/>
    <xf numFmtId="0" fontId="0" fillId="0" borderId="39" xfId="0" applyBorder="1"/>
    <xf numFmtId="0" fontId="0" fillId="0" borderId="28" xfId="0" applyBorder="1"/>
    <xf numFmtId="0" fontId="0" fillId="0" borderId="34" xfId="0" applyBorder="1" applyAlignment="1">
      <alignment wrapText="1"/>
    </xf>
    <xf numFmtId="164" fontId="0" fillId="5" borderId="16" xfId="0" applyNumberFormat="1" applyFill="1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28" borderId="42" xfId="0" applyFill="1" applyBorder="1" applyAlignment="1">
      <alignment wrapText="1"/>
    </xf>
    <xf numFmtId="0" fontId="0" fillId="35" borderId="46" xfId="0" applyFill="1" applyBorder="1" applyAlignment="1">
      <alignment wrapText="1"/>
    </xf>
    <xf numFmtId="0" fontId="0" fillId="0" borderId="34" xfId="0" applyFill="1" applyBorder="1" applyAlignment="1">
      <alignment wrapText="1"/>
    </xf>
    <xf numFmtId="164" fontId="24" fillId="0" borderId="0" xfId="0" applyNumberFormat="1" applyFont="1" applyAlignment="1">
      <alignment horizontal="left"/>
    </xf>
    <xf numFmtId="164" fontId="0" fillId="5" borderId="16" xfId="0" applyNumberFormat="1" applyFont="1" applyFill="1" applyBorder="1" applyAlignment="1">
      <alignment horizontal="left" wrapText="1"/>
    </xf>
    <xf numFmtId="0" fontId="24" fillId="0" borderId="0" xfId="0" applyFont="1"/>
    <xf numFmtId="0" fontId="0" fillId="30" borderId="2" xfId="0" applyFont="1" applyFill="1" applyBorder="1" applyAlignment="1">
      <alignment wrapText="1"/>
    </xf>
    <xf numFmtId="164" fontId="0" fillId="5" borderId="16" xfId="0" applyNumberForma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5" borderId="1" xfId="0" applyNumberFormat="1" applyFill="1" applyBorder="1" applyAlignment="1">
      <alignment wrapText="1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3" borderId="18" xfId="0" applyFill="1" applyBorder="1" applyAlignment="1">
      <alignment wrapText="1"/>
    </xf>
    <xf numFmtId="0" fontId="0" fillId="4" borderId="18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32" borderId="18" xfId="0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0" fillId="29" borderId="18" xfId="0" applyFill="1" applyBorder="1" applyAlignment="1">
      <alignment wrapText="1"/>
    </xf>
    <xf numFmtId="0" fontId="0" fillId="31" borderId="18" xfId="0" applyFill="1" applyBorder="1" applyAlignment="1">
      <alignment wrapText="1"/>
    </xf>
    <xf numFmtId="0" fontId="0" fillId="28" borderId="18" xfId="0" applyFill="1" applyBorder="1" applyAlignment="1">
      <alignment wrapText="1"/>
    </xf>
    <xf numFmtId="0" fontId="0" fillId="30" borderId="18" xfId="0" applyFill="1" applyBorder="1" applyAlignment="1">
      <alignment wrapText="1"/>
    </xf>
    <xf numFmtId="0" fontId="0" fillId="30" borderId="18" xfId="0" applyFill="1" applyBorder="1" applyAlignment="1">
      <alignment horizontal="left" wrapText="1"/>
    </xf>
    <xf numFmtId="0" fontId="0" fillId="33" borderId="15" xfId="0" applyFill="1" applyBorder="1" applyAlignment="1">
      <alignment wrapText="1"/>
    </xf>
    <xf numFmtId="0" fontId="0" fillId="4" borderId="2" xfId="0" applyFill="1" applyBorder="1" applyAlignment="1">
      <alignment horizontal="center" wrapText="1"/>
    </xf>
    <xf numFmtId="0" fontId="0" fillId="32" borderId="2" xfId="0" applyFill="1" applyBorder="1" applyAlignment="1">
      <alignment horizontal="left" wrapText="1"/>
    </xf>
    <xf numFmtId="0" fontId="0" fillId="3" borderId="2" xfId="0" applyFont="1" applyFill="1" applyBorder="1" applyAlignment="1">
      <alignment wrapText="1"/>
    </xf>
    <xf numFmtId="0" fontId="0" fillId="0" borderId="0" xfId="0" applyBorder="1"/>
    <xf numFmtId="9" fontId="0" fillId="0" borderId="0" xfId="45" applyFont="1" applyBorder="1"/>
    <xf numFmtId="9" fontId="0" fillId="0" borderId="30" xfId="45" applyNumberFormat="1" applyFont="1" applyBorder="1"/>
    <xf numFmtId="0" fontId="0" fillId="0" borderId="35" xfId="0" applyBorder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left"/>
    </xf>
    <xf numFmtId="0" fontId="0" fillId="0" borderId="52" xfId="0" applyBorder="1"/>
    <xf numFmtId="0" fontId="0" fillId="0" borderId="36" xfId="0" applyBorder="1"/>
    <xf numFmtId="9" fontId="0" fillId="0" borderId="38" xfId="45" applyNumberFormat="1" applyFont="1" applyBorder="1"/>
    <xf numFmtId="0" fontId="0" fillId="0" borderId="45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9" fontId="0" fillId="0" borderId="0" xfId="45" applyFont="1" applyFill="1" applyBorder="1"/>
    <xf numFmtId="0" fontId="19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52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49" fontId="0" fillId="0" borderId="50" xfId="0" applyNumberFormat="1" applyBorder="1" applyAlignment="1">
      <alignment horizontal="left"/>
    </xf>
    <xf numFmtId="49" fontId="0" fillId="0" borderId="28" xfId="0" applyNumberFormat="1" applyBorder="1" applyAlignment="1">
      <alignment horizontal="left"/>
    </xf>
    <xf numFmtId="0" fontId="19" fillId="34" borderId="16" xfId="0" applyFont="1" applyFill="1" applyBorder="1" applyAlignment="1">
      <alignment wrapText="1"/>
    </xf>
    <xf numFmtId="0" fontId="19" fillId="34" borderId="2" xfId="0" applyFont="1" applyFill="1" applyBorder="1"/>
    <xf numFmtId="0" fontId="19" fillId="34" borderId="15" xfId="0" applyFont="1" applyFill="1" applyBorder="1"/>
    <xf numFmtId="0" fontId="19" fillId="34" borderId="3" xfId="0" applyFont="1" applyFill="1" applyBorder="1"/>
    <xf numFmtId="0" fontId="19" fillId="34" borderId="5" xfId="0" applyFont="1" applyFill="1" applyBorder="1"/>
    <xf numFmtId="9" fontId="19" fillId="34" borderId="2" xfId="45" applyFont="1" applyFill="1" applyBorder="1"/>
    <xf numFmtId="9" fontId="19" fillId="34" borderId="15" xfId="45" applyFont="1" applyFill="1" applyBorder="1"/>
    <xf numFmtId="0" fontId="19" fillId="34" borderId="1" xfId="0" applyFont="1" applyFill="1" applyBorder="1"/>
    <xf numFmtId="0" fontId="19" fillId="34" borderId="49" xfId="0" applyFont="1" applyFill="1" applyBorder="1"/>
    <xf numFmtId="9" fontId="19" fillId="34" borderId="48" xfId="45" applyNumberFormat="1" applyFont="1" applyFill="1" applyBorder="1"/>
    <xf numFmtId="0" fontId="19" fillId="34" borderId="47" xfId="0" applyFont="1" applyFill="1" applyBorder="1"/>
    <xf numFmtId="0" fontId="19" fillId="34" borderId="16" xfId="0" applyFont="1" applyFill="1" applyBorder="1"/>
    <xf numFmtId="0" fontId="0" fillId="0" borderId="51" xfId="0" applyBorder="1" applyAlignment="1">
      <alignment horizontal="left"/>
    </xf>
    <xf numFmtId="0" fontId="0" fillId="0" borderId="53" xfId="0" applyBorder="1"/>
    <xf numFmtId="9" fontId="19" fillId="34" borderId="3" xfId="45" applyNumberFormat="1" applyFont="1" applyFill="1" applyBorder="1"/>
    <xf numFmtId="0" fontId="19" fillId="34" borderId="35" xfId="0" applyFont="1" applyFill="1" applyBorder="1"/>
    <xf numFmtId="0" fontId="25" fillId="38" borderId="0" xfId="0" applyFont="1" applyFill="1"/>
    <xf numFmtId="0" fontId="0" fillId="39" borderId="0" xfId="0" applyFill="1"/>
    <xf numFmtId="164" fontId="0" fillId="39" borderId="0" xfId="0" applyNumberFormat="1" applyFill="1" applyAlignment="1">
      <alignment horizontal="center"/>
    </xf>
    <xf numFmtId="164" fontId="24" fillId="39" borderId="0" xfId="0" applyNumberFormat="1" applyFont="1" applyFill="1" applyAlignment="1">
      <alignment horizontal="left"/>
    </xf>
    <xf numFmtId="164" fontId="0" fillId="39" borderId="0" xfId="0" applyNumberFormat="1" applyFill="1" applyAlignment="1">
      <alignment horizontal="left"/>
    </xf>
    <xf numFmtId="0" fontId="26" fillId="39" borderId="0" xfId="0" applyNumberFormat="1" applyFont="1" applyFill="1"/>
    <xf numFmtId="0" fontId="0" fillId="0" borderId="0" xfId="0"/>
    <xf numFmtId="0" fontId="0" fillId="0" borderId="0" xfId="0" applyBorder="1"/>
    <xf numFmtId="9" fontId="0" fillId="0" borderId="0" xfId="45" applyFont="1" applyBorder="1"/>
    <xf numFmtId="0" fontId="0" fillId="0" borderId="0" xfId="0"/>
    <xf numFmtId="0" fontId="0" fillId="0" borderId="0" xfId="0" applyBorder="1"/>
    <xf numFmtId="9" fontId="0" fillId="0" borderId="0" xfId="45" applyFont="1" applyBorder="1"/>
    <xf numFmtId="0" fontId="0" fillId="0" borderId="0" xfId="0" applyFill="1" applyBorder="1"/>
    <xf numFmtId="9" fontId="0" fillId="0" borderId="0" xfId="45" applyFont="1" applyFill="1" applyBorder="1"/>
    <xf numFmtId="0" fontId="0" fillId="0" borderId="0" xfId="0"/>
    <xf numFmtId="0" fontId="0" fillId="0" borderId="0" xfId="0" applyBorder="1"/>
    <xf numFmtId="9" fontId="0" fillId="0" borderId="0" xfId="45" applyFont="1" applyBorder="1"/>
    <xf numFmtId="0" fontId="0" fillId="0" borderId="0" xfId="0"/>
    <xf numFmtId="0" fontId="0" fillId="0" borderId="0" xfId="0" applyBorder="1"/>
    <xf numFmtId="9" fontId="0" fillId="0" borderId="0" xfId="45" applyFont="1" applyBorder="1"/>
    <xf numFmtId="0" fontId="0" fillId="0" borderId="0" xfId="0"/>
    <xf numFmtId="0" fontId="0" fillId="0" borderId="0" xfId="0" applyBorder="1"/>
    <xf numFmtId="9" fontId="0" fillId="0" borderId="0" xfId="45" applyFont="1" applyBorder="1"/>
    <xf numFmtId="0" fontId="0" fillId="0" borderId="0" xfId="0"/>
    <xf numFmtId="0" fontId="0" fillId="0" borderId="0" xfId="0" applyBorder="1"/>
    <xf numFmtId="9" fontId="0" fillId="0" borderId="0" xfId="45" applyFont="1" applyBorder="1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wrapText="1"/>
    </xf>
    <xf numFmtId="9" fontId="0" fillId="0" borderId="0" xfId="45" applyFont="1" applyBorder="1"/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 applyBorder="1"/>
    <xf numFmtId="9" fontId="0" fillId="0" borderId="0" xfId="45" applyFont="1" applyBorder="1"/>
    <xf numFmtId="0" fontId="0" fillId="0" borderId="0" xfId="0"/>
    <xf numFmtId="0" fontId="0" fillId="0" borderId="0" xfId="0"/>
    <xf numFmtId="0" fontId="0" fillId="0" borderId="0" xfId="0" applyBorder="1"/>
    <xf numFmtId="9" fontId="0" fillId="0" borderId="0" xfId="45" applyFont="1" applyBorder="1"/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 applyBorder="1"/>
    <xf numFmtId="9" fontId="0" fillId="0" borderId="0" xfId="45" applyFont="1" applyBorder="1"/>
    <xf numFmtId="0" fontId="19" fillId="0" borderId="0" xfId="0" applyFont="1" applyBorder="1" applyAlignment="1">
      <alignment horizontal="center"/>
    </xf>
    <xf numFmtId="9" fontId="0" fillId="5" borderId="25" xfId="45" applyFont="1" applyFill="1" applyBorder="1" applyAlignment="1">
      <alignment horizontal="left"/>
    </xf>
    <xf numFmtId="9" fontId="0" fillId="5" borderId="0" xfId="45" applyFont="1" applyFill="1" applyBorder="1" applyAlignment="1">
      <alignment horizontal="left"/>
    </xf>
    <xf numFmtId="9" fontId="0" fillId="36" borderId="25" xfId="45" applyFont="1" applyFill="1" applyBorder="1" applyAlignment="1">
      <alignment horizontal="left"/>
    </xf>
    <xf numFmtId="9" fontId="0" fillId="36" borderId="0" xfId="45" applyFont="1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9" fontId="0" fillId="0" borderId="0" xfId="45" applyFont="1"/>
    <xf numFmtId="0" fontId="19" fillId="0" borderId="0" xfId="0" applyFont="1" applyBorder="1" applyAlignment="1"/>
    <xf numFmtId="0" fontId="0" fillId="0" borderId="5" xfId="0" applyBorder="1" applyAlignment="1">
      <alignment wrapText="1"/>
    </xf>
    <xf numFmtId="9" fontId="0" fillId="0" borderId="55" xfId="45" applyNumberFormat="1" applyFont="1" applyBorder="1"/>
    <xf numFmtId="9" fontId="0" fillId="0" borderId="56" xfId="45" applyNumberFormat="1" applyFont="1" applyBorder="1"/>
    <xf numFmtId="9" fontId="0" fillId="0" borderId="57" xfId="45" applyNumberFormat="1" applyFont="1" applyBorder="1"/>
    <xf numFmtId="9" fontId="0" fillId="0" borderId="58" xfId="45" applyNumberFormat="1" applyFont="1" applyBorder="1"/>
    <xf numFmtId="9" fontId="19" fillId="34" borderId="59" xfId="45" applyNumberFormat="1" applyFont="1" applyFill="1" applyBorder="1"/>
    <xf numFmtId="9" fontId="0" fillId="0" borderId="18" xfId="45" applyFont="1" applyBorder="1"/>
    <xf numFmtId="9" fontId="0" fillId="0" borderId="39" xfId="45" applyFont="1" applyBorder="1"/>
    <xf numFmtId="9" fontId="0" fillId="0" borderId="27" xfId="45" applyFont="1" applyBorder="1"/>
    <xf numFmtId="9" fontId="0" fillId="2" borderId="41" xfId="45" applyFont="1" applyFill="1" applyBorder="1"/>
    <xf numFmtId="9" fontId="0" fillId="2" borderId="29" xfId="45" applyFont="1" applyFill="1" applyBorder="1"/>
    <xf numFmtId="9" fontId="0" fillId="2" borderId="30" xfId="45" applyFont="1" applyFill="1" applyBorder="1"/>
    <xf numFmtId="0" fontId="0" fillId="0" borderId="42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55" xfId="0" applyBorder="1" applyAlignment="1">
      <alignment wrapText="1"/>
    </xf>
    <xf numFmtId="9" fontId="19" fillId="34" borderId="5" xfId="45" applyFont="1" applyFill="1" applyBorder="1"/>
    <xf numFmtId="9" fontId="0" fillId="36" borderId="0" xfId="45" applyFont="1" applyFill="1" applyBorder="1" applyAlignment="1">
      <alignment horizontal="left"/>
    </xf>
    <xf numFmtId="9" fontId="0" fillId="5" borderId="0" xfId="45" applyFont="1" applyFill="1" applyBorder="1" applyAlignment="1">
      <alignment horizontal="left"/>
    </xf>
    <xf numFmtId="0" fontId="27" fillId="0" borderId="0" xfId="0" applyFont="1" applyFill="1" applyBorder="1" applyAlignment="1">
      <alignment vertical="top" wrapText="1"/>
    </xf>
    <xf numFmtId="0" fontId="27" fillId="0" borderId="25" xfId="0" applyFont="1" applyFill="1" applyBorder="1" applyAlignment="1">
      <alignment vertical="top" wrapText="1"/>
    </xf>
    <xf numFmtId="14" fontId="0" fillId="5" borderId="16" xfId="0" applyNumberFormat="1" applyFill="1" applyBorder="1" applyAlignment="1">
      <alignment wrapText="1"/>
    </xf>
    <xf numFmtId="14" fontId="0" fillId="0" borderId="0" xfId="0" applyNumberFormat="1"/>
    <xf numFmtId="14" fontId="0" fillId="39" borderId="0" xfId="0" applyNumberFormat="1" applyFill="1" applyAlignment="1">
      <alignment horizontal="center"/>
    </xf>
    <xf numFmtId="0" fontId="0" fillId="0" borderId="60" xfId="0" applyBorder="1" applyAlignment="1">
      <alignment wrapText="1"/>
    </xf>
    <xf numFmtId="9" fontId="0" fillId="0" borderId="0" xfId="45" applyNumberFormat="1" applyFont="1" applyBorder="1"/>
    <xf numFmtId="0" fontId="0" fillId="0" borderId="0" xfId="0" applyBorder="1" applyAlignment="1">
      <alignment wrapText="1"/>
    </xf>
    <xf numFmtId="0" fontId="0" fillId="0" borderId="0" xfId="0" applyFill="1"/>
    <xf numFmtId="9" fontId="0" fillId="36" borderId="0" xfId="45" applyFont="1" applyFill="1" applyBorder="1" applyAlignment="1">
      <alignment horizontal="left"/>
    </xf>
    <xf numFmtId="9" fontId="0" fillId="0" borderId="0" xfId="45" applyFont="1" applyFill="1" applyBorder="1" applyAlignment="1">
      <alignment horizontal="left"/>
    </xf>
    <xf numFmtId="0" fontId="28" fillId="0" borderId="0" xfId="0" applyFont="1"/>
    <xf numFmtId="0" fontId="28" fillId="40" borderId="25" xfId="0" applyFont="1" applyFill="1" applyBorder="1" applyAlignment="1">
      <alignment vertical="top"/>
    </xf>
    <xf numFmtId="0" fontId="28" fillId="40" borderId="0" xfId="0" applyFont="1" applyFill="1" applyBorder="1" applyAlignment="1">
      <alignment vertical="top"/>
    </xf>
    <xf numFmtId="0" fontId="19" fillId="2" borderId="16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8" fillId="40" borderId="25" xfId="0" applyFont="1" applyFill="1" applyBorder="1" applyAlignment="1">
      <alignment horizontal="left" vertical="top" wrapText="1"/>
    </xf>
    <xf numFmtId="0" fontId="28" fillId="40" borderId="0" xfId="0" applyFont="1" applyFill="1" applyBorder="1" applyAlignment="1">
      <alignment horizontal="left" vertical="top" wrapText="1"/>
    </xf>
    <xf numFmtId="9" fontId="0" fillId="5" borderId="25" xfId="45" applyFont="1" applyFill="1" applyBorder="1" applyAlignment="1">
      <alignment horizontal="left" vertical="top" wrapText="1"/>
    </xf>
    <xf numFmtId="9" fontId="0" fillId="5" borderId="0" xfId="45" applyFont="1" applyFill="1" applyBorder="1" applyAlignment="1">
      <alignment horizontal="left" vertical="top" wrapText="1"/>
    </xf>
    <xf numFmtId="9" fontId="0" fillId="36" borderId="25" xfId="45" applyFont="1" applyFill="1" applyBorder="1" applyAlignment="1">
      <alignment horizontal="left" vertical="top"/>
    </xf>
    <xf numFmtId="9" fontId="0" fillId="36" borderId="0" xfId="45" applyFont="1" applyFill="1" applyBorder="1" applyAlignment="1">
      <alignment horizontal="left" vertical="top"/>
    </xf>
    <xf numFmtId="0" fontId="27" fillId="40" borderId="0" xfId="0" applyFont="1" applyFill="1" applyBorder="1" applyAlignment="1">
      <alignment horizontal="left" vertical="top" wrapText="1"/>
    </xf>
    <xf numFmtId="9" fontId="0" fillId="36" borderId="0" xfId="45" applyFont="1" applyFill="1" applyBorder="1" applyAlignment="1">
      <alignment horizontal="left" vertical="top" wrapText="1"/>
    </xf>
    <xf numFmtId="0" fontId="27" fillId="40" borderId="25" xfId="0" applyFont="1" applyFill="1" applyBorder="1" applyAlignment="1">
      <alignment horizontal="left" vertical="top" wrapText="1"/>
    </xf>
    <xf numFmtId="9" fontId="0" fillId="36" borderId="25" xfId="45" applyFont="1" applyFill="1" applyBorder="1" applyAlignment="1">
      <alignment horizontal="left" vertical="top" wrapText="1"/>
    </xf>
    <xf numFmtId="0" fontId="0" fillId="0" borderId="18" xfId="0" applyFill="1" applyBorder="1" applyAlignment="1">
      <alignment horizontal="center" wrapText="1"/>
    </xf>
    <xf numFmtId="0" fontId="0" fillId="0" borderId="18" xfId="0" applyBorder="1" applyAlignment="1">
      <alignment horizontal="center" vertical="top" wrapText="1"/>
    </xf>
    <xf numFmtId="0" fontId="27" fillId="0" borderId="25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0" fontId="0" fillId="0" borderId="18" xfId="0" applyBorder="1" applyAlignment="1">
      <alignment horizontal="center"/>
    </xf>
    <xf numFmtId="0" fontId="27" fillId="40" borderId="25" xfId="0" applyFont="1" applyFill="1" applyBorder="1" applyAlignment="1">
      <alignment horizontal="left"/>
    </xf>
    <xf numFmtId="0" fontId="27" fillId="40" borderId="0" xfId="0" applyFont="1" applyFill="1" applyBorder="1" applyAlignment="1">
      <alignment horizontal="left"/>
    </xf>
    <xf numFmtId="0" fontId="0" fillId="0" borderId="18" xfId="0" applyBorder="1" applyAlignment="1">
      <alignment horizontal="center" wrapText="1"/>
    </xf>
    <xf numFmtId="9" fontId="0" fillId="36" borderId="25" xfId="45" applyFont="1" applyFill="1" applyBorder="1" applyAlignment="1">
      <alignment horizontal="left" wrapText="1"/>
    </xf>
    <xf numFmtId="9" fontId="0" fillId="36" borderId="0" xfId="45" applyFont="1" applyFill="1" applyBorder="1" applyAlignment="1">
      <alignment horizontal="left" wrapText="1"/>
    </xf>
    <xf numFmtId="9" fontId="0" fillId="5" borderId="25" xfId="45" applyFont="1" applyFill="1" applyBorder="1" applyAlignment="1">
      <alignment horizontal="left" wrapText="1"/>
    </xf>
    <xf numFmtId="9" fontId="0" fillId="5" borderId="0" xfId="45" applyFont="1" applyFill="1" applyBorder="1" applyAlignment="1">
      <alignment horizontal="left" wrapText="1"/>
    </xf>
    <xf numFmtId="0" fontId="19" fillId="36" borderId="16" xfId="0" applyFont="1" applyFill="1" applyBorder="1" applyAlignment="1">
      <alignment horizontal="center" vertical="center" wrapText="1"/>
    </xf>
    <xf numFmtId="0" fontId="19" fillId="36" borderId="4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19" fillId="37" borderId="4" xfId="0" applyFont="1" applyFill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left" vertical="center" wrapText="1"/>
    </xf>
    <xf numFmtId="0" fontId="23" fillId="34" borderId="17" xfId="0" applyFont="1" applyFill="1" applyBorder="1" applyAlignment="1">
      <alignment horizontal="left" vertical="center" wrapText="1"/>
    </xf>
    <xf numFmtId="0" fontId="23" fillId="34" borderId="4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37" borderId="16" xfId="0" applyFont="1" applyFill="1" applyBorder="1" applyAlignment="1">
      <alignment horizontal="center" vertical="center" wrapText="1"/>
    </xf>
    <xf numFmtId="0" fontId="22" fillId="37" borderId="17" xfId="0" applyFont="1" applyFill="1" applyBorder="1" applyAlignment="1">
      <alignment horizontal="center" vertical="center" wrapText="1"/>
    </xf>
    <xf numFmtId="0" fontId="22" fillId="37" borderId="4" xfId="0" applyFont="1" applyFill="1" applyBorder="1" applyAlignment="1">
      <alignment horizontal="center" vertical="center" wrapText="1"/>
    </xf>
    <xf numFmtId="0" fontId="19" fillId="36" borderId="17" xfId="0" applyFont="1" applyFill="1" applyBorder="1" applyAlignment="1">
      <alignment horizontal="center" vertical="center" wrapText="1"/>
    </xf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2" fillId="36" borderId="16" xfId="0" applyFont="1" applyFill="1" applyBorder="1" applyAlignment="1">
      <alignment horizontal="center" vertical="center" wrapText="1"/>
    </xf>
    <xf numFmtId="0" fontId="22" fillId="36" borderId="17" xfId="0" applyFont="1" applyFill="1" applyBorder="1" applyAlignment="1">
      <alignment horizontal="center" vertical="center" wrapText="1"/>
    </xf>
    <xf numFmtId="0" fontId="19" fillId="37" borderId="17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9" fontId="0" fillId="0" borderId="25" xfId="45" applyFont="1" applyFill="1" applyBorder="1" applyAlignment="1">
      <alignment horizontal="left" wrapText="1"/>
    </xf>
    <xf numFmtId="9" fontId="0" fillId="0" borderId="0" xfId="45" applyFont="1" applyFill="1" applyBorder="1" applyAlignment="1">
      <alignment horizontal="left" wrapText="1"/>
    </xf>
    <xf numFmtId="0" fontId="27" fillId="0" borderId="25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 wrapText="1"/>
    </xf>
    <xf numFmtId="9" fontId="0" fillId="36" borderId="0" xfId="45" applyFont="1" applyFill="1" applyBorder="1" applyAlignment="1">
      <alignment horizontal="left"/>
    </xf>
    <xf numFmtId="9" fontId="0" fillId="5" borderId="0" xfId="45" applyFont="1" applyFill="1" applyBorder="1" applyAlignment="1">
      <alignment horizontal="left"/>
    </xf>
    <xf numFmtId="0" fontId="27" fillId="40" borderId="25" xfId="0" applyFont="1" applyFill="1" applyBorder="1" applyAlignment="1">
      <alignment horizontal="left" wrapText="1"/>
    </xf>
    <xf numFmtId="0" fontId="27" fillId="40" borderId="0" xfId="0" applyFont="1" applyFill="1" applyBorder="1" applyAlignment="1">
      <alignment horizontal="left" wrapText="1"/>
    </xf>
    <xf numFmtId="9" fontId="0" fillId="36" borderId="25" xfId="45" applyFont="1" applyFill="1" applyBorder="1" applyAlignment="1">
      <alignment horizontal="left"/>
    </xf>
    <xf numFmtId="9" fontId="0" fillId="5" borderId="25" xfId="45" applyFont="1" applyFill="1" applyBorder="1" applyAlignment="1">
      <alignment horizontal="left"/>
    </xf>
    <xf numFmtId="9" fontId="0" fillId="33" borderId="0" xfId="45" applyFont="1" applyFill="1" applyBorder="1" applyAlignment="1">
      <alignment horizontal="left" wrapText="1"/>
    </xf>
    <xf numFmtId="9" fontId="0" fillId="0" borderId="25" xfId="45" applyFont="1" applyFill="1" applyBorder="1" applyAlignment="1">
      <alignment horizontal="left" vertical="top" wrapText="1"/>
    </xf>
    <xf numFmtId="9" fontId="0" fillId="0" borderId="0" xfId="45" applyFont="1" applyFill="1" applyBorder="1" applyAlignment="1">
      <alignment horizontal="left" vertical="top" wrapText="1"/>
    </xf>
    <xf numFmtId="9" fontId="0" fillId="5" borderId="54" xfId="45" applyFont="1" applyFill="1" applyBorder="1" applyAlignment="1">
      <alignment horizontal="left" vertical="top" wrapText="1"/>
    </xf>
    <xf numFmtId="0" fontId="0" fillId="40" borderId="0" xfId="0" applyFont="1" applyFill="1" applyBorder="1" applyAlignment="1">
      <alignment horizontal="left" vertical="top" wrapText="1"/>
    </xf>
  </cellXfs>
  <cellStyles count="4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1" xr:uid="{00000000-0005-0000-0000-000025000000}"/>
    <cellStyle name="Normal 3" xfId="43" xr:uid="{00000000-0005-0000-0000-000026000000}"/>
    <cellStyle name="Note 2" xfId="38" xr:uid="{00000000-0005-0000-0000-000027000000}"/>
    <cellStyle name="Note 3" xfId="44" xr:uid="{00000000-0005-0000-0000-000028000000}"/>
    <cellStyle name="Output 2" xfId="39" xr:uid="{00000000-0005-0000-0000-000029000000}"/>
    <cellStyle name="Percent" xfId="45" builtinId="5"/>
    <cellStyle name="Title 2" xfId="40" xr:uid="{00000000-0005-0000-0000-00002B000000}"/>
    <cellStyle name="Total 2" xfId="41" xr:uid="{00000000-0005-0000-0000-00002C000000}"/>
    <cellStyle name="Warning Text 2" xfId="42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1. I am satisfied with the way my counselor related to</a:t>
            </a:r>
            <a:r>
              <a:rPr lang="en-US" baseline="0"/>
              <a:t> me?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327882091661618E-2"/>
          <c:y val="0.14788459189105072"/>
          <c:w val="0.93115929739551784"/>
          <c:h val="0.662745948944731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Summary!$A$75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377622377622378E-2"/>
                  <c:y val="-2.7705625187249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74-4233-A9A4-939F00200BC8}"/>
                </c:ext>
              </c:extLst>
            </c:dLbl>
            <c:dLbl>
              <c:idx val="1"/>
              <c:layout>
                <c:manualLayout>
                  <c:x val="1.1630335681723995E-2"/>
                  <c:y val="-2.7705625187249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74-4233-A9A4-939F00200B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="t" anchorCtr="1"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Summary!$B$73:$D$73</c:f>
              <c:strCache>
                <c:ptCount val="3"/>
                <c:pt idx="0">
                  <c:v>Successful</c:v>
                </c:pt>
                <c:pt idx="2">
                  <c:v>Unsuccessful</c:v>
                </c:pt>
              </c:strCache>
            </c:strRef>
          </c:cat>
          <c:val>
            <c:numRef>
              <c:f>(Summary!$C$75,Summary!$E$75)</c:f>
              <c:numCache>
                <c:formatCode>0%</c:formatCode>
                <c:ptCount val="2"/>
                <c:pt idx="0">
                  <c:v>0.81222707423580787</c:v>
                </c:pt>
                <c:pt idx="1">
                  <c:v>0.64948453608247425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74-4233-A9A4-939F00200BC8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8648018648018613E-2"/>
                  <c:y val="-2.7705625187249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74-4233-A9A4-939F00200BC8}"/>
                </c:ext>
              </c:extLst>
            </c:dLbl>
            <c:dLbl>
              <c:idx val="1"/>
              <c:layout>
                <c:manualLayout>
                  <c:x val="1.1740848183450753E-2"/>
                  <c:y val="-2.5396823088311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74-4233-A9A4-939F00200B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Summary!$B$73:$D$73</c:f>
              <c:strCache>
                <c:ptCount val="3"/>
                <c:pt idx="0">
                  <c:v>Successful</c:v>
                </c:pt>
                <c:pt idx="2">
                  <c:v>Unsuccessful</c:v>
                </c:pt>
              </c:strCache>
            </c:strRef>
          </c:cat>
          <c:val>
            <c:numRef>
              <c:f>(Summary!$C$76,Summary!$E$76)</c:f>
              <c:numCache>
                <c:formatCode>0%</c:formatCode>
                <c:ptCount val="2"/>
                <c:pt idx="0">
                  <c:v>0.14410480349344978</c:v>
                </c:pt>
                <c:pt idx="1">
                  <c:v>0.14432989690721648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74-4233-A9A4-939F00200BC8}"/>
            </c:ext>
          </c:extLst>
        </c:ser>
        <c:ser>
          <c:idx val="2"/>
          <c:order val="2"/>
          <c:tx>
            <c:strRef>
              <c:f>Summary!$A$77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8648018648018648E-2"/>
                  <c:y val="-1.8470416791499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74-4233-A9A4-939F00200BC8}"/>
                </c:ext>
              </c:extLst>
            </c:dLbl>
            <c:dLbl>
              <c:idx val="1"/>
              <c:layout>
                <c:manualLayout>
                  <c:x val="1.6783216783216783E-2"/>
                  <c:y val="-2.07792188904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74-4233-A9A4-939F00200B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Summary!$B$73:$D$73</c:f>
              <c:strCache>
                <c:ptCount val="3"/>
                <c:pt idx="0">
                  <c:v>Successful</c:v>
                </c:pt>
                <c:pt idx="2">
                  <c:v>Unsuccessful</c:v>
                </c:pt>
              </c:strCache>
            </c:strRef>
          </c:cat>
          <c:val>
            <c:numRef>
              <c:f>(Summary!$C$77,Summary!$E$77)</c:f>
              <c:numCache>
                <c:formatCode>0%</c:formatCode>
                <c:ptCount val="2"/>
                <c:pt idx="0">
                  <c:v>2.6200873362445413E-2</c:v>
                </c:pt>
                <c:pt idx="1">
                  <c:v>6.1855670103092786E-2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74-4233-A9A4-939F00200BC8}"/>
            </c:ext>
          </c:extLst>
        </c:ser>
        <c:ser>
          <c:idx val="3"/>
          <c:order val="3"/>
          <c:tx>
            <c:strRef>
              <c:f>Summary!$A$78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8648018648018648E-2"/>
                  <c:y val="-2.0779218890437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74-4233-A9A4-939F00200BC8}"/>
                </c:ext>
              </c:extLst>
            </c:dLbl>
            <c:dLbl>
              <c:idx val="1"/>
              <c:layout>
                <c:manualLayout>
                  <c:x val="2.0512820512820513E-2"/>
                  <c:y val="-2.07792188904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74-4233-A9A4-939F00200B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Summary!$B$73:$D$73</c:f>
              <c:strCache>
                <c:ptCount val="3"/>
                <c:pt idx="0">
                  <c:v>Successful</c:v>
                </c:pt>
                <c:pt idx="2">
                  <c:v>Unsuccessful</c:v>
                </c:pt>
              </c:strCache>
            </c:strRef>
          </c:cat>
          <c:val>
            <c:numRef>
              <c:f>(Summary!$C$78,Summary!$E$78)</c:f>
              <c:numCache>
                <c:formatCode>0%</c:formatCode>
                <c:ptCount val="2"/>
                <c:pt idx="0">
                  <c:v>1.7467248908296942E-2</c:v>
                </c:pt>
                <c:pt idx="1">
                  <c:v>0.14432989690721648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374-4233-A9A4-939F00200BC8}"/>
            </c:ext>
          </c:extLst>
        </c:ser>
        <c:ser>
          <c:idx val="4"/>
          <c:order val="4"/>
          <c:tx>
            <c:strRef>
              <c:f>Summary!$A$79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052631578947368E-2"/>
                  <c:y val="-2.07792188904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374-4233-A9A4-939F00200BC8}"/>
                </c:ext>
              </c:extLst>
            </c:dLbl>
            <c:dLbl>
              <c:idx val="1"/>
              <c:layout>
                <c:manualLayout>
                  <c:x val="2.6315789473684209E-2"/>
                  <c:y val="-2.0779218890437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74-4233-A9A4-939F00200B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(Summary!$C$79,Summary!$E$79)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74-4233-A9A4-939F00200B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263880696"/>
        <c:axId val="263878736"/>
        <c:axId val="0"/>
      </c:bar3DChart>
      <c:catAx>
        <c:axId val="2638806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                   Status                                                   Unsuccessful</a:t>
                </a:r>
              </a:p>
            </c:rich>
          </c:tx>
          <c:overlay val="0"/>
        </c:title>
        <c:numFmt formatCode="@" sourceLinked="0"/>
        <c:majorTickMark val="none"/>
        <c:minorTickMark val="none"/>
        <c:tickLblPos val="nextTo"/>
        <c:crossAx val="263878736"/>
        <c:crosses val="autoZero"/>
        <c:auto val="0"/>
        <c:lblAlgn val="ctr"/>
        <c:lblOffset val="100"/>
        <c:noMultiLvlLbl val="0"/>
      </c:catAx>
      <c:valAx>
        <c:axId val="26387873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en-US"/>
          </a:p>
        </c:txPr>
        <c:crossAx val="263880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4. My counselor treated me with respect?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Summary!$A$401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42061281337047E-2"/>
                  <c:y val="-8.072651319306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46-436D-8155-AB1BB2A8B3D1}"/>
                </c:ext>
              </c:extLst>
            </c:dLbl>
            <c:dLbl>
              <c:idx val="1"/>
              <c:layout>
                <c:manualLayout>
                  <c:x val="1.1142061281337115E-2"/>
                  <c:y val="-1.3454418865510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46-436D-8155-AB1BB2A8B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(Summary!$C$401,Summary!$E$401)</c:f>
              <c:numCache>
                <c:formatCode>0%</c:formatCode>
                <c:ptCount val="2"/>
                <c:pt idx="0">
                  <c:v>0.86026200873362446</c:v>
                </c:pt>
                <c:pt idx="1">
                  <c:v>0.79381443298969068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46-436D-8155-AB1BB2A8B3D1}"/>
            </c:ext>
          </c:extLst>
        </c:ser>
        <c:ser>
          <c:idx val="3"/>
          <c:order val="1"/>
          <c:tx>
            <c:strRef>
              <c:f>Summary!$A$402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427112349117919E-2"/>
                  <c:y val="-8.0726513193063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46-436D-8155-AB1BB2A8B3D1}"/>
                </c:ext>
              </c:extLst>
            </c:dLbl>
            <c:dLbl>
              <c:idx val="1"/>
              <c:layout>
                <c:manualLayout>
                  <c:x val="9.284904846504214E-3"/>
                  <c:y val="-1.0763535092408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46-436D-8155-AB1BB2A8B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(Summary!$C$402,Summary!$E$402)</c:f>
              <c:numCache>
                <c:formatCode>0%</c:formatCode>
                <c:ptCount val="2"/>
                <c:pt idx="0">
                  <c:v>7.4235807860262015E-2</c:v>
                </c:pt>
                <c:pt idx="1">
                  <c:v>8.247422680412371E-2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46-436D-8155-AB1BB2A8B3D1}"/>
            </c:ext>
          </c:extLst>
        </c:ser>
        <c:ser>
          <c:idx val="0"/>
          <c:order val="2"/>
          <c:tx>
            <c:strRef>
              <c:f>Summary!$A$403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280408542246983E-3"/>
                  <c:y val="-1.3454418865510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46-436D-8155-AB1BB2A8B3D1}"/>
                </c:ext>
              </c:extLst>
            </c:dLbl>
            <c:dLbl>
              <c:idx val="1"/>
              <c:layout>
                <c:manualLayout>
                  <c:x val="5.5710306406685237E-3"/>
                  <c:y val="-1.3454418865510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46-436D-8155-AB1BB2A8B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(Summary!$C$403,Summary!$E$403)</c:f>
              <c:numCache>
                <c:formatCode>0%</c:formatCode>
                <c:ptCount val="2"/>
                <c:pt idx="0">
                  <c:v>1.7467248908296942E-2</c:v>
                </c:pt>
                <c:pt idx="1">
                  <c:v>2.0618556701030927E-2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46-436D-8155-AB1BB2A8B3D1}"/>
            </c:ext>
          </c:extLst>
        </c:ser>
        <c:ser>
          <c:idx val="1"/>
          <c:order val="3"/>
          <c:tx>
            <c:strRef>
              <c:f>Summary!$A$404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710306406684899E-3"/>
                  <c:y val="-1.0763535092408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46-436D-8155-AB1BB2A8B3D1}"/>
                </c:ext>
              </c:extLst>
            </c:dLbl>
            <c:dLbl>
              <c:idx val="1"/>
              <c:layout>
                <c:manualLayout>
                  <c:x val="9.285051067780872E-3"/>
                  <c:y val="-8.072651319306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46-436D-8155-AB1BB2A8B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(Summary!$C$404,Summary!$E$404)</c:f>
              <c:numCache>
                <c:formatCode>0%</c:formatCode>
                <c:ptCount val="2"/>
                <c:pt idx="0">
                  <c:v>1.3100436681222707E-2</c:v>
                </c:pt>
                <c:pt idx="1">
                  <c:v>9.2783505154639179E-2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B46-436D-8155-AB1BB2A8B3D1}"/>
            </c:ext>
          </c:extLst>
        </c:ser>
        <c:ser>
          <c:idx val="4"/>
          <c:order val="4"/>
          <c:tx>
            <c:strRef>
              <c:f>Summary!$A$405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42061281337013E-2"/>
                  <c:y val="-8.072651319306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46-436D-8155-AB1BB2A8B3D1}"/>
                </c:ext>
              </c:extLst>
            </c:dLbl>
            <c:dLbl>
              <c:idx val="1"/>
              <c:layout>
                <c:manualLayout>
                  <c:x val="1.1142061281337047E-2"/>
                  <c:y val="-8.072651319306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46-436D-8155-AB1BB2A8B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(Summary!$C$405,Summary!$E$405)</c:f>
              <c:numCache>
                <c:formatCode>0%</c:formatCode>
                <c:ptCount val="2"/>
                <c:pt idx="0">
                  <c:v>3.4934497816593885E-2</c:v>
                </c:pt>
                <c:pt idx="1">
                  <c:v>1.0309278350515464E-2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46-436D-8155-AB1BB2A8B3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39915120"/>
        <c:axId val="339915512"/>
        <c:axId val="0"/>
      </c:bar3DChart>
      <c:catAx>
        <c:axId val="3399151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       Status       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39915512"/>
        <c:crosses val="autoZero"/>
        <c:auto val="1"/>
        <c:lblAlgn val="ctr"/>
        <c:lblOffset val="100"/>
        <c:noMultiLvlLbl val="0"/>
      </c:catAx>
      <c:valAx>
        <c:axId val="33991551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39915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4a. My counselor was timely when responding to me?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7720973782771535"/>
          <c:y val="3.00854668459016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638326108112894E-2"/>
          <c:y val="0.19966498960468515"/>
          <c:w val="0.89376242295555752"/>
          <c:h val="0.654116195801472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Summary!$A$439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33-4236-95EC-2C3CE0B34BAE}"/>
                </c:ext>
              </c:extLst>
            </c:dLbl>
            <c:dLbl>
              <c:idx val="1"/>
              <c:layout>
                <c:manualLayout>
                  <c:x val="8.7151589538758123E-3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33-4236-95EC-2C3CE0B34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(Summary!$C$439,Summary!$E$439)</c:f>
              <c:numCache>
                <c:formatCode>0%</c:formatCode>
                <c:ptCount val="2"/>
                <c:pt idx="0">
                  <c:v>0</c:v>
                </c:pt>
                <c:pt idx="1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3-4236-95EC-2C3CE0B34BAE}"/>
            </c:ext>
          </c:extLst>
        </c:ser>
        <c:ser>
          <c:idx val="1"/>
          <c:order val="1"/>
          <c:tx>
            <c:strRef>
              <c:f>Summary!$A$440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33-4236-95EC-2C3CE0B34BAE}"/>
                </c:ext>
              </c:extLst>
            </c:dLbl>
            <c:dLbl>
              <c:idx val="1"/>
              <c:layout>
                <c:manualLayout>
                  <c:x val="1.223783618857418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33-4236-95EC-2C3CE0B34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(Summary!$C$440,Summary!$E$440)</c:f>
              <c:numCache>
                <c:formatCode>0%</c:formatCode>
                <c:ptCount val="2"/>
                <c:pt idx="0">
                  <c:v>0.83333333333333337</c:v>
                </c:pt>
                <c:pt idx="1">
                  <c:v>0.90909090909090906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33-4236-95EC-2C3CE0B34BAE}"/>
            </c:ext>
          </c:extLst>
        </c:ser>
        <c:ser>
          <c:idx val="2"/>
          <c:order val="2"/>
          <c:tx>
            <c:strRef>
              <c:f>Summary!$A$441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33-4236-95EC-2C3CE0B34BAE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33-4236-95EC-2C3CE0B34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(Summary!$C$441,Summary!$E$441)</c:f>
              <c:numCache>
                <c:formatCode>0%</c:formatCode>
                <c:ptCount val="2"/>
                <c:pt idx="0">
                  <c:v>0.16666666666666666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33-4236-95EC-2C3CE0B34BAE}"/>
            </c:ext>
          </c:extLst>
        </c:ser>
        <c:ser>
          <c:idx val="3"/>
          <c:order val="3"/>
          <c:tx>
            <c:strRef>
              <c:f>Summary!$A$442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852047556142668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33-4236-95EC-2C3CE0B34BAE}"/>
                </c:ext>
              </c:extLst>
            </c:dLbl>
            <c:dLbl>
              <c:idx val="1"/>
              <c:layout>
                <c:manualLayout>
                  <c:x val="2.2897402025539412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33-4236-95EC-2C3CE0B34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(Summary!$C$442,Summary!$E$442)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33-4236-95EC-2C3CE0B34B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39916296"/>
        <c:axId val="339916688"/>
        <c:axId val="0"/>
      </c:bar3DChart>
      <c:catAx>
        <c:axId val="3399162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39916688"/>
        <c:crosses val="autoZero"/>
        <c:auto val="1"/>
        <c:lblAlgn val="ctr"/>
        <c:lblOffset val="100"/>
        <c:noMultiLvlLbl val="0"/>
      </c:catAx>
      <c:valAx>
        <c:axId val="3399166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399162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4b. My counselor acted in my best interest?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9390221891554893"/>
          <c:y val="3.082858373074424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749561639523096E-2"/>
          <c:y val="0.20671294503810234"/>
          <c:w val="0.91779483631491665"/>
          <c:h val="0.6323324585608934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Summary!$A$474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5754231508463E-2"/>
                  <c:y val="-2.4163512140095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7D-4744-A549-5AFF5B927F14}"/>
                </c:ext>
              </c:extLst>
            </c:dLbl>
            <c:dLbl>
              <c:idx val="1"/>
              <c:layout>
                <c:manualLayout>
                  <c:x val="1.115754231508463E-2"/>
                  <c:y val="-3.316262240889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7D-4744-A549-5AFF5B927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(Summary!$C$474,Summary!$E$474)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D-4744-A549-5AFF5B927F14}"/>
            </c:ext>
          </c:extLst>
        </c:ser>
        <c:ser>
          <c:idx val="3"/>
          <c:order val="1"/>
          <c:tx>
            <c:strRef>
              <c:f>Summary!$A$475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437486652751083E-2"/>
                  <c:y val="-2.4163512140095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7D-4744-A549-5AFF5B927F14}"/>
                </c:ext>
              </c:extLst>
            </c:dLbl>
            <c:dLbl>
              <c:idx val="1"/>
              <c:layout>
                <c:manualLayout>
                  <c:x val="1.0828114989563313E-2"/>
                  <c:y val="-3.3328900817055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7D-4744-A549-5AFF5B927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(Summary!$C$475,Summary!$E$475)</c:f>
              <c:numCache>
                <c:formatCode>0%</c:formatCode>
                <c:ptCount val="2"/>
                <c:pt idx="0">
                  <c:v>0.83333333333333337</c:v>
                </c:pt>
                <c:pt idx="1">
                  <c:v>0.90909090909090906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7D-4744-A549-5AFF5B927F14}"/>
            </c:ext>
          </c:extLst>
        </c:ser>
        <c:ser>
          <c:idx val="0"/>
          <c:order val="2"/>
          <c:tx>
            <c:strRef>
              <c:f>Summary!$A$476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406886147105629E-2"/>
                  <c:y val="-2.4080136745095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7D-4744-A549-5AFF5B927F14}"/>
                </c:ext>
              </c:extLst>
            </c:dLbl>
            <c:dLbl>
              <c:idx val="1"/>
              <c:layout>
                <c:manualLayout>
                  <c:x val="1.2907323592424963E-2"/>
                  <c:y val="-3.024590072942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7D-4744-A549-5AFF5B927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(Summary!$C$476,Summary!$E$476)</c:f>
              <c:numCache>
                <c:formatCode>0%</c:formatCode>
                <c:ptCount val="2"/>
                <c:pt idx="0">
                  <c:v>0.16666666666666666</c:v>
                </c:pt>
                <c:pt idx="1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7D-4744-A549-5AFF5B927F14}"/>
            </c:ext>
          </c:extLst>
        </c:ser>
        <c:ser>
          <c:idx val="1"/>
          <c:order val="3"/>
          <c:tx>
            <c:strRef>
              <c:f>Summary!$A$477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748031496062992E-2"/>
                  <c:y val="-2.0997372848389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7D-4744-A549-5AFF5B927F14}"/>
                </c:ext>
              </c:extLst>
            </c:dLbl>
            <c:dLbl>
              <c:idx val="1"/>
              <c:layout>
                <c:manualLayout>
                  <c:x val="2.2747156605424323E-2"/>
                  <c:y val="-2.0997372848389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7D-4744-A549-5AFF5B927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(Summary!$C$477,Summary!$E$477)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7D-4744-A549-5AFF5B927F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39917472"/>
        <c:axId val="339917864"/>
        <c:axId val="0"/>
      </c:bar3DChart>
      <c:catAx>
        <c:axId val="3399174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               Status                     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39917864"/>
        <c:crosses val="autoZero"/>
        <c:auto val="1"/>
        <c:lblAlgn val="ctr"/>
        <c:lblOffset val="100"/>
        <c:noMultiLvlLbl val="0"/>
      </c:catAx>
      <c:valAx>
        <c:axId val="33991786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39917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4c. My counselor respected my culture?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21595925344206479"/>
          <c:y val="3.008543936198870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638326108112894E-2"/>
          <c:y val="0.19966498960468515"/>
          <c:w val="0.89376242295555752"/>
          <c:h val="0.654116195801472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Summary!$A$509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C8-4311-826F-9CF9036B90A9}"/>
                </c:ext>
              </c:extLst>
            </c:dLbl>
            <c:dLbl>
              <c:idx val="1"/>
              <c:layout>
                <c:manualLayout>
                  <c:x val="6.9538203365266914E-3"/>
                  <c:y val="-2.1891530873645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C8-4311-826F-9CF9036B9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(Summary!$C$509,Summary!$E$509)</c:f>
              <c:numCache>
                <c:formatCode>0%</c:formatCode>
                <c:ptCount val="2"/>
                <c:pt idx="0">
                  <c:v>0.16666666666666666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8-4311-826F-9CF9036B90A9}"/>
            </c:ext>
          </c:extLst>
        </c:ser>
        <c:ser>
          <c:idx val="1"/>
          <c:order val="1"/>
          <c:tx>
            <c:strRef>
              <c:f>Summary!$A$510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C8-4311-826F-9CF9036B90A9}"/>
                </c:ext>
              </c:extLst>
            </c:dLbl>
            <c:dLbl>
              <c:idx val="1"/>
              <c:layout>
                <c:manualLayout>
                  <c:x val="1.0476497571224997E-2"/>
                  <c:y val="-3.2820459806009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C8-4311-826F-9CF9036B9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(Summary!$C$510,Summary!$E$510)</c:f>
              <c:numCache>
                <c:formatCode>0%</c:formatCode>
                <c:ptCount val="2"/>
                <c:pt idx="0">
                  <c:v>0.16666666666666666</c:v>
                </c:pt>
                <c:pt idx="1">
                  <c:v>0.63636363636363635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C8-4311-826F-9CF9036B90A9}"/>
            </c:ext>
          </c:extLst>
        </c:ser>
        <c:ser>
          <c:idx val="2"/>
          <c:order val="2"/>
          <c:tx>
            <c:strRef>
              <c:f>Summary!$A$511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C8-4311-826F-9CF9036B90A9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C8-4311-826F-9CF9036B9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(Summary!$C$511,Summary!$E$511)</c:f>
              <c:numCache>
                <c:formatCode>0%</c:formatCode>
                <c:ptCount val="2"/>
                <c:pt idx="0">
                  <c:v>0.66666666666666663</c:v>
                </c:pt>
                <c:pt idx="1">
                  <c:v>0.36363636363636365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C8-4311-826F-9CF9036B90A9}"/>
            </c:ext>
          </c:extLst>
        </c:ser>
        <c:ser>
          <c:idx val="3"/>
          <c:order val="3"/>
          <c:tx>
            <c:strRef>
              <c:f>Summary!$A$512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344569288389514E-2"/>
                  <c:y val="-2.4615381964828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C8-4311-826F-9CF9036B90A9}"/>
                </c:ext>
              </c:extLst>
            </c:dLbl>
            <c:dLbl>
              <c:idx val="1"/>
              <c:layout>
                <c:manualLayout>
                  <c:x val="2.8089887640449437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C8-4311-826F-9CF9036B9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(Summary!$C$512,Summary!$E$512)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C8-4311-826F-9CF9036B9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2835000"/>
        <c:axId val="342835392"/>
        <c:axId val="0"/>
      </c:bar3DChart>
      <c:catAx>
        <c:axId val="3428350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layout>
            <c:manualLayout>
              <c:xMode val="edge"/>
              <c:yMode val="edge"/>
              <c:x val="0.28869463311802013"/>
              <c:y val="0.85775427196809939"/>
            </c:manualLayout>
          </c:layout>
          <c:overlay val="0"/>
        </c:title>
        <c:majorTickMark val="none"/>
        <c:minorTickMark val="none"/>
        <c:tickLblPos val="nextTo"/>
        <c:crossAx val="342835392"/>
        <c:crosses val="autoZero"/>
        <c:auto val="1"/>
        <c:lblAlgn val="ctr"/>
        <c:lblOffset val="100"/>
        <c:noMultiLvlLbl val="0"/>
      </c:catAx>
      <c:valAx>
        <c:axId val="34283539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2835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5. My counselor involved me in decision-making?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026783349329043E-2"/>
          <c:y val="0.10655917659987321"/>
          <c:w val="0.92275084880444991"/>
          <c:h val="0.59344399394366376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Summary!$A$544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427112349117919E-2"/>
                  <c:y val="-1.824401149899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A9-4519-927D-5AC038F7B890}"/>
                </c:ext>
              </c:extLst>
            </c:dLbl>
            <c:dLbl>
              <c:idx val="1"/>
              <c:layout>
                <c:manualLayout>
                  <c:x val="1.2999071494893221E-2"/>
                  <c:y val="-1.5203342915828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A9-4519-927D-5AC038F7B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(Summary!$C$544,Summary!$E$544)</c:f>
              <c:numCache>
                <c:formatCode>0%</c:formatCode>
                <c:ptCount val="2"/>
                <c:pt idx="0">
                  <c:v>0.79039301310043664</c:v>
                </c:pt>
                <c:pt idx="1">
                  <c:v>0.67010309278350511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9-4519-927D-5AC038F7B890}"/>
            </c:ext>
          </c:extLst>
        </c:ser>
        <c:ser>
          <c:idx val="3"/>
          <c:order val="1"/>
          <c:tx>
            <c:strRef>
              <c:f>Summary!$A$545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8570102135561744E-2"/>
                  <c:y val="-1.82440114989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A9-4519-927D-5AC038F7B890}"/>
                </c:ext>
              </c:extLst>
            </c:dLbl>
            <c:dLbl>
              <c:idx val="1"/>
              <c:layout>
                <c:manualLayout>
                  <c:x val="9.9422434580998479E-3"/>
                  <c:y val="-1.8244175636467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A9-4519-927D-5AC038F7B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(Summary!$C$545,Summary!$E$545)</c:f>
              <c:numCache>
                <c:formatCode>0%</c:formatCode>
                <c:ptCount val="2"/>
                <c:pt idx="0">
                  <c:v>0.12663755458515283</c:v>
                </c:pt>
                <c:pt idx="1">
                  <c:v>0.14432989690721648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A9-4519-927D-5AC038F7B890}"/>
            </c:ext>
          </c:extLst>
        </c:ser>
        <c:ser>
          <c:idx val="0"/>
          <c:order val="2"/>
          <c:tx>
            <c:strRef>
              <c:f>Summary!$A$546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42061281337047E-2"/>
                  <c:y val="-1.82440114989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A9-4519-927D-5AC038F7B890}"/>
                </c:ext>
              </c:extLst>
            </c:dLbl>
            <c:dLbl>
              <c:idx val="1"/>
              <c:layout>
                <c:manualLayout>
                  <c:x val="1.8570102135561744E-2"/>
                  <c:y val="-1.824401149899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A9-4519-927D-5AC038F7B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(Summary!$C$546,Summary!$E$546)</c:f>
              <c:numCache>
                <c:formatCode>0%</c:formatCode>
                <c:ptCount val="2"/>
                <c:pt idx="0">
                  <c:v>3.0567685589519649E-2</c:v>
                </c:pt>
                <c:pt idx="1">
                  <c:v>6.1855670103092786E-2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A9-4519-927D-5AC038F7B890}"/>
            </c:ext>
          </c:extLst>
        </c:ser>
        <c:ser>
          <c:idx val="1"/>
          <c:order val="3"/>
          <c:tx>
            <c:strRef>
              <c:f>Summary!$A$547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856081708449397E-2"/>
                  <c:y val="-1.824401149899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A9-4519-927D-5AC038F7B890}"/>
                </c:ext>
              </c:extLst>
            </c:dLbl>
            <c:dLbl>
              <c:idx val="1"/>
              <c:layout>
                <c:manualLayout>
                  <c:x val="1.2999071494893221E-2"/>
                  <c:y val="-2.1284680082160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A9-4519-927D-5AC038F7B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(Summary!$C$547,Summary!$E$547)</c:f>
              <c:numCache>
                <c:formatCode>0%</c:formatCode>
                <c:ptCount val="2"/>
                <c:pt idx="0">
                  <c:v>1.7467248908296942E-2</c:v>
                </c:pt>
                <c:pt idx="1">
                  <c:v>0.10309278350515463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5A9-4519-927D-5AC038F7B890}"/>
            </c:ext>
          </c:extLst>
        </c:ser>
        <c:ser>
          <c:idx val="4"/>
          <c:order val="4"/>
          <c:tx>
            <c:strRef>
              <c:f>Summary!$A$548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999071494893221E-2"/>
                  <c:y val="-1.5203342915828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A9-4519-927D-5AC038F7B890}"/>
                </c:ext>
              </c:extLst>
            </c:dLbl>
            <c:dLbl>
              <c:idx val="1"/>
              <c:layout>
                <c:manualLayout>
                  <c:x val="1.6713091922005572E-2"/>
                  <c:y val="-1.824401149899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A9-4519-927D-5AC038F7B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(Summary!$C$548,Summary!$E$548)</c:f>
              <c:numCache>
                <c:formatCode>0%</c:formatCode>
                <c:ptCount val="2"/>
                <c:pt idx="0">
                  <c:v>3.4934497816593885E-2</c:v>
                </c:pt>
                <c:pt idx="1">
                  <c:v>2.0618556701030927E-2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A9-4519-927D-5AC038F7B8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265316208"/>
        <c:axId val="342836176"/>
        <c:axId val="0"/>
      </c:bar3DChart>
      <c:catAx>
        <c:axId val="2653162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           Status         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2836176"/>
        <c:crosses val="autoZero"/>
        <c:auto val="1"/>
        <c:lblAlgn val="ctr"/>
        <c:lblOffset val="100"/>
        <c:noMultiLvlLbl val="0"/>
      </c:catAx>
      <c:valAx>
        <c:axId val="34283617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65316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37795963577946E-2"/>
          <c:y val="0.75517760726856076"/>
          <c:w val="0.95152442991979747"/>
          <c:h val="0.1399671340260539"/>
        </c:manualLayout>
      </c:layout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5a. My counselor helped me focus on employment?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7720973782771535"/>
          <c:y val="3.00854668459016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638326108112894E-2"/>
          <c:y val="0.1394940559128818"/>
          <c:w val="0.89376242295555752"/>
          <c:h val="0.7142871294932764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Summary!$A$576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5E-42E0-B48D-2028D3D35835}"/>
                </c:ext>
              </c:extLst>
            </c:dLbl>
            <c:dLbl>
              <c:idx val="1"/>
              <c:layout>
                <c:manualLayout>
                  <c:x val="1.752185204062174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5E-42E0-B48D-2028D3D358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(Summary!$C$576,Summary!$E$576)</c:f>
              <c:numCache>
                <c:formatCode>0%</c:formatCode>
                <c:ptCount val="2"/>
                <c:pt idx="0">
                  <c:v>0.63636363636363635</c:v>
                </c:pt>
                <c:pt idx="1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5E-42E0-B48D-2028D3D35835}"/>
            </c:ext>
          </c:extLst>
        </c:ser>
        <c:ser>
          <c:idx val="1"/>
          <c:order val="1"/>
          <c:tx>
            <c:strRef>
              <c:f>Summary!$A$577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329370321444297E-2"/>
                  <c:y val="-1.91452970837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5E-42E0-B48D-2028D3D35835}"/>
                </c:ext>
              </c:extLst>
            </c:dLbl>
            <c:dLbl>
              <c:idx val="1"/>
              <c:layout>
                <c:manualLayout>
                  <c:x val="1.2329370321444297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5E-42E0-B48D-2028D3D358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(Summary!$C$577,Summary!$E$577)</c:f>
              <c:numCache>
                <c:formatCode>0%</c:formatCode>
                <c:ptCount val="2"/>
                <c:pt idx="0">
                  <c:v>0.36363636363636365</c:v>
                </c:pt>
                <c:pt idx="1">
                  <c:v>0.8125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5E-42E0-B48D-2028D3D35835}"/>
            </c:ext>
          </c:extLst>
        </c:ser>
        <c:ser>
          <c:idx val="2"/>
          <c:order val="2"/>
          <c:tx>
            <c:strRef>
              <c:f>Summary!$A$578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897402025539412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5E-42E0-B48D-2028D3D35835}"/>
                </c:ext>
              </c:extLst>
            </c:dLbl>
            <c:dLbl>
              <c:idx val="1"/>
              <c:layout>
                <c:manualLayout>
                  <c:x val="1.937472479084103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5E-42E0-B48D-2028D3D358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(Summary!$C$578,Summary!$E$578)</c:f>
              <c:numCache>
                <c:formatCode>0%</c:formatCode>
                <c:ptCount val="2"/>
                <c:pt idx="0">
                  <c:v>0</c:v>
                </c:pt>
                <c:pt idx="1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5E-42E0-B48D-2028D3D35835}"/>
            </c:ext>
          </c:extLst>
        </c:ser>
        <c:ser>
          <c:idx val="3"/>
          <c:order val="3"/>
          <c:tx>
            <c:strRef>
              <c:f>Summary!$A$579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5E-42E0-B48D-2028D3D35835}"/>
                </c:ext>
              </c:extLst>
            </c:dLbl>
            <c:dLbl>
              <c:idx val="1"/>
              <c:layout>
                <c:manualLayout>
                  <c:x val="2.4658740642888595E-2"/>
                  <c:y val="-1.91452970837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5E-42E0-B48D-2028D3D358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(Summary!$C$579,Summary!$E$579)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5E-42E0-B48D-2028D3D358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2836960"/>
        <c:axId val="342837352"/>
        <c:axId val="0"/>
      </c:bar3DChart>
      <c:catAx>
        <c:axId val="3428369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2837352"/>
        <c:crosses val="autoZero"/>
        <c:auto val="1"/>
        <c:lblAlgn val="ctr"/>
        <c:lblOffset val="100"/>
        <c:noMultiLvlLbl val="0"/>
      </c:catAx>
      <c:valAx>
        <c:axId val="34283735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28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5b. My counselor helped me explore my options?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6590571847810362"/>
          <c:y val="2.482933434549016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749561639523096E-2"/>
          <c:y val="0.14672038278045368"/>
          <c:w val="0.91779483631491665"/>
          <c:h val="0.6923249524134342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Summary!$A$611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906448701786292E-2"/>
                  <c:y val="-3.316238621797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8F-4DAC-975D-15598A6F4D37}"/>
                </c:ext>
              </c:extLst>
            </c:dLbl>
            <c:dLbl>
              <c:idx val="1"/>
              <c:layout>
                <c:manualLayout>
                  <c:x val="2.1656229979126626E-2"/>
                  <c:y val="-3.316238621797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8F-4DAC-975D-15598A6F4D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(Summary!$C$611,Summary!$E$611)</c:f>
              <c:numCache>
                <c:formatCode>0%</c:formatCode>
                <c:ptCount val="2"/>
                <c:pt idx="0">
                  <c:v>0.18181818181818182</c:v>
                </c:pt>
                <c:pt idx="1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8F-4DAC-975D-15598A6F4D37}"/>
            </c:ext>
          </c:extLst>
        </c:ser>
        <c:ser>
          <c:idx val="0"/>
          <c:order val="1"/>
          <c:tx>
            <c:strRef>
              <c:f>Summary!$A$612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248468941382295E-2"/>
                  <c:y val="-3.2995871618897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8F-4DAC-975D-15598A6F4D37}"/>
                </c:ext>
              </c:extLst>
            </c:dLbl>
            <c:dLbl>
              <c:idx val="1"/>
              <c:layout>
                <c:manualLayout>
                  <c:x val="1.0498687664041995E-2"/>
                  <c:y val="-2.6996622233643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8F-4DAC-975D-15598A6F4D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(Summary!$C$612,Summary!$E$612)</c:f>
              <c:numCache>
                <c:formatCode>0%</c:formatCode>
                <c:ptCount val="2"/>
                <c:pt idx="0">
                  <c:v>0.72727272727272729</c:v>
                </c:pt>
                <c:pt idx="1">
                  <c:v>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8F-4DAC-975D-15598A6F4D37}"/>
            </c:ext>
          </c:extLst>
        </c:ser>
        <c:ser>
          <c:idx val="1"/>
          <c:order val="2"/>
          <c:tx>
            <c:strRef>
              <c:f>Summary!$A$613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748031496062992E-2"/>
                  <c:y val="-2.6996622233643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8F-4DAC-975D-15598A6F4D37}"/>
                </c:ext>
              </c:extLst>
            </c:dLbl>
            <c:dLbl>
              <c:idx val="1"/>
              <c:layout>
                <c:manualLayout>
                  <c:x val="1.7497812773403325E-2"/>
                  <c:y val="-3.2995871618897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8F-4DAC-975D-15598A6F4D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(Summary!$C$613,Summary!$E$613)</c:f>
              <c:numCache>
                <c:formatCode>0%</c:formatCode>
                <c:ptCount val="2"/>
                <c:pt idx="0">
                  <c:v>9.0909090909090912E-2</c:v>
                </c:pt>
                <c:pt idx="1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8F-4DAC-975D-15598A6F4D37}"/>
            </c:ext>
          </c:extLst>
        </c:ser>
        <c:ser>
          <c:idx val="3"/>
          <c:order val="3"/>
          <c:tx>
            <c:strRef>
              <c:f>Summary!$A$614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46719160104987E-2"/>
                  <c:y val="-2.9996246926270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8F-4DAC-975D-15598A6F4D37}"/>
                </c:ext>
              </c:extLst>
            </c:dLbl>
            <c:dLbl>
              <c:idx val="1"/>
              <c:layout>
                <c:manualLayout>
                  <c:x val="2.6246719160104987E-2"/>
                  <c:y val="-2.9996246926270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8F-4DAC-975D-15598A6F4D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(Summary!$C$614,Summary!$E$614)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18F-4DAC-975D-15598A6F4D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2838136"/>
        <c:axId val="342838528"/>
        <c:axId val="0"/>
      </c:bar3DChart>
      <c:catAx>
        <c:axId val="3428381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               Status                     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2838528"/>
        <c:crosses val="autoZero"/>
        <c:auto val="1"/>
        <c:lblAlgn val="ctr"/>
        <c:lblOffset val="100"/>
        <c:noMultiLvlLbl val="0"/>
      </c:catAx>
      <c:valAx>
        <c:axId val="34283852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2838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5c. My counselor helped me understand the pros and cons of my decision?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1732429087051041"/>
          <c:y val="3.00854668459016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638326108112894E-2"/>
          <c:y val="0.19966498960468515"/>
          <c:w val="0.89376242295555752"/>
          <c:h val="0.654116195801472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Summary!$A$646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C3-4149-8BC0-4BAFB189D65D}"/>
                </c:ext>
              </c:extLst>
            </c:dLbl>
            <c:dLbl>
              <c:idx val="1"/>
              <c:layout>
                <c:manualLayout>
                  <c:x val="1.2237836188574183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3-4149-8BC0-4BAFB189D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(Summary!$C$646,Summary!$E$646)</c:f>
              <c:numCache>
                <c:formatCode>0%</c:formatCode>
                <c:ptCount val="2"/>
                <c:pt idx="0">
                  <c:v>0.18181818181818182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C3-4149-8BC0-4BAFB189D65D}"/>
            </c:ext>
          </c:extLst>
        </c:ser>
        <c:ser>
          <c:idx val="1"/>
          <c:order val="1"/>
          <c:tx>
            <c:strRef>
              <c:f>Summary!$A$647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C3-4149-8BC0-4BAFB189D65D}"/>
                </c:ext>
              </c:extLst>
            </c:dLbl>
            <c:dLbl>
              <c:idx val="1"/>
              <c:layout>
                <c:manualLayout>
                  <c:x val="1.223783618857418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C3-4149-8BC0-4BAFB189D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(Summary!$C$647,Summary!$E$647)</c:f>
              <c:numCache>
                <c:formatCode>0%</c:formatCode>
                <c:ptCount val="2"/>
                <c:pt idx="0">
                  <c:v>0.72727272727272729</c:v>
                </c:pt>
                <c:pt idx="1">
                  <c:v>0.9375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C3-4149-8BC0-4BAFB189D65D}"/>
            </c:ext>
          </c:extLst>
        </c:ser>
        <c:ser>
          <c:idx val="2"/>
          <c:order val="2"/>
          <c:tx>
            <c:strRef>
              <c:f>Summary!$A$648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C3-4149-8BC0-4BAFB189D65D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C3-4149-8BC0-4BAFB189D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(Summary!$C$648,Summary!$E$648)</c:f>
              <c:numCache>
                <c:formatCode>0%</c:formatCode>
                <c:ptCount val="2"/>
                <c:pt idx="0">
                  <c:v>9.0909090909090912E-2</c:v>
                </c:pt>
                <c:pt idx="1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C3-4149-8BC0-4BAFB189D65D}"/>
            </c:ext>
          </c:extLst>
        </c:ser>
        <c:ser>
          <c:idx val="3"/>
          <c:order val="3"/>
          <c:tx>
            <c:strRef>
              <c:f>Summary!$A$649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344569288389514E-2"/>
                  <c:y val="-2.4615381964828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C3-4149-8BC0-4BAFB189D65D}"/>
                </c:ext>
              </c:extLst>
            </c:dLbl>
            <c:dLbl>
              <c:idx val="1"/>
              <c:layout>
                <c:manualLayout>
                  <c:x val="2.8089887640449437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C3-4149-8BC0-4BAFB189D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(Summary!$C$649,Summary!$E$649)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C3-4149-8BC0-4BAFB189D6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31484896"/>
        <c:axId val="427200552"/>
        <c:axId val="0"/>
      </c:bar3DChart>
      <c:catAx>
        <c:axId val="3314848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7200552"/>
        <c:crosses val="autoZero"/>
        <c:auto val="1"/>
        <c:lblAlgn val="ctr"/>
        <c:lblOffset val="100"/>
        <c:noMultiLvlLbl val="0"/>
      </c:catAx>
      <c:valAx>
        <c:axId val="42720055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31484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6. I am satisfied with how well VR prepared me for employment?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4071888966323065"/>
          <c:y val="3.00854668459016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Summary!$A$681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8C-4E23-96DE-4FE4F3CF4B99}"/>
                </c:ext>
              </c:extLst>
            </c:dLbl>
            <c:dLbl>
              <c:idx val="1"/>
              <c:layout>
                <c:manualLayout>
                  <c:x val="1.2237836188574183E-2"/>
                  <c:y val="-2.461559732250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8C-4E23-96DE-4FE4F3CF4B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(Summary!$C$681,Summary!$E$681)</c:f>
              <c:numCache>
                <c:formatCode>0%</c:formatCode>
                <c:ptCount val="2"/>
                <c:pt idx="0">
                  <c:v>0.70305676855895194</c:v>
                </c:pt>
                <c:pt idx="1">
                  <c:v>0.4845360824742268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8C-4E23-96DE-4FE4F3CF4B99}"/>
            </c:ext>
          </c:extLst>
        </c:ser>
        <c:ser>
          <c:idx val="1"/>
          <c:order val="1"/>
          <c:tx>
            <c:strRef>
              <c:f>Summary!$A$683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8C-4E23-96DE-4FE4F3CF4B99}"/>
                </c:ext>
              </c:extLst>
            </c:dLbl>
            <c:dLbl>
              <c:idx val="1"/>
              <c:layout>
                <c:manualLayout>
                  <c:x val="6.9538203365266263E-3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8C-4E23-96DE-4FE4F3CF4B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(Summary!$C$682,Summary!$E$682)</c:f>
              <c:numCache>
                <c:formatCode>0%</c:formatCode>
                <c:ptCount val="2"/>
                <c:pt idx="0">
                  <c:v>0.14410480349344978</c:v>
                </c:pt>
                <c:pt idx="1">
                  <c:v>0.20618556701030927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8C-4E23-96DE-4FE4F3CF4B99}"/>
            </c:ext>
          </c:extLst>
        </c:ser>
        <c:ser>
          <c:idx val="2"/>
          <c:order val="2"/>
          <c:tx>
            <c:strRef>
              <c:f>Summary!$A$683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8C-4E23-96DE-4FE4F3CF4B99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8C-4E23-96DE-4FE4F3CF4B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(Summary!$C$683,Summary!$E$683)</c:f>
              <c:numCache>
                <c:formatCode>0%</c:formatCode>
                <c:ptCount val="2"/>
                <c:pt idx="0">
                  <c:v>4.8034934497816595E-2</c:v>
                </c:pt>
                <c:pt idx="1">
                  <c:v>6.1855670103092786E-2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8C-4E23-96DE-4FE4F3CF4B99}"/>
            </c:ext>
          </c:extLst>
        </c:ser>
        <c:ser>
          <c:idx val="3"/>
          <c:order val="3"/>
          <c:tx>
            <c:strRef>
              <c:f>Summary!$A$684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344569288389514E-2"/>
                  <c:y val="-2.4615381964828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8C-4E23-96DE-4FE4F3CF4B99}"/>
                </c:ext>
              </c:extLst>
            </c:dLbl>
            <c:dLbl>
              <c:idx val="1"/>
              <c:layout>
                <c:manualLayout>
                  <c:x val="2.8089887640449437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8C-4E23-96DE-4FE4F3CF4B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(Summary!$C$684,Summary!$E$684)</c:f>
              <c:numCache>
                <c:formatCode>0%</c:formatCode>
                <c:ptCount val="2"/>
                <c:pt idx="0">
                  <c:v>5.6768558951965066E-2</c:v>
                </c:pt>
                <c:pt idx="1">
                  <c:v>0.22680412371134021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8C-4E23-96DE-4FE4F3CF4B99}"/>
            </c:ext>
          </c:extLst>
        </c:ser>
        <c:ser>
          <c:idx val="4"/>
          <c:order val="4"/>
          <c:tx>
            <c:strRef>
              <c:f>Summary!$A$685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658740642888595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8C-4E23-96DE-4FE4F3CF4B99}"/>
                </c:ext>
              </c:extLst>
            </c:dLbl>
            <c:dLbl>
              <c:idx val="1"/>
              <c:layout>
                <c:manualLayout>
                  <c:x val="2.113606340819022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8C-4E23-96DE-4FE4F3CF4B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(Summary!$C$685,Summary!$E$685)</c:f>
              <c:numCache>
                <c:formatCode>0%</c:formatCode>
                <c:ptCount val="2"/>
                <c:pt idx="0">
                  <c:v>4.8034934497816595E-2</c:v>
                </c:pt>
                <c:pt idx="1">
                  <c:v>2.0618556701030927E-2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8C-4E23-96DE-4FE4F3CF4B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201336"/>
        <c:axId val="427201728"/>
        <c:axId val="0"/>
      </c:bar3DChart>
      <c:catAx>
        <c:axId val="4272013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7201728"/>
        <c:crosses val="autoZero"/>
        <c:auto val="1"/>
        <c:lblAlgn val="ctr"/>
        <c:lblOffset val="100"/>
        <c:noMultiLvlLbl val="0"/>
      </c:catAx>
      <c:valAx>
        <c:axId val="42720172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2013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6a. I was advised about my rights and responsibilities?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7946833924491276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Summary!$A$718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07-4C8A-B84D-00A1CB92FD53}"/>
                </c:ext>
              </c:extLst>
            </c:dLbl>
            <c:dLbl>
              <c:idx val="1"/>
              <c:layout>
                <c:manualLayout>
                  <c:x val="1.7521852040621802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07-4C8A-B84D-00A1CB92F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(Summary!$C$718,Summary!$E$718)</c:f>
              <c:numCache>
                <c:formatCode>0%</c:formatCode>
                <c:ptCount val="2"/>
                <c:pt idx="0">
                  <c:v>0.625</c:v>
                </c:pt>
                <c:pt idx="1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07-4C8A-B84D-00A1CB92FD53}"/>
            </c:ext>
          </c:extLst>
        </c:ser>
        <c:ser>
          <c:idx val="1"/>
          <c:order val="1"/>
          <c:tx>
            <c:strRef>
              <c:f>Summary!$A$719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07-4C8A-B84D-00A1CB92FD53}"/>
                </c:ext>
              </c:extLst>
            </c:dLbl>
            <c:dLbl>
              <c:idx val="1"/>
              <c:layout>
                <c:manualLayout>
                  <c:x val="1.0476497571224997E-2"/>
                  <c:y val="-3.2820724644110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07-4C8A-B84D-00A1CB92F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(Summary!$C$719,Summary!$E$719)</c:f>
              <c:numCache>
                <c:formatCode>0%</c:formatCode>
                <c:ptCount val="2"/>
                <c:pt idx="0">
                  <c:v>0.29166666666666669</c:v>
                </c:pt>
                <c:pt idx="1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07-4C8A-B84D-00A1CB92FD53}"/>
            </c:ext>
          </c:extLst>
        </c:ser>
        <c:ser>
          <c:idx val="2"/>
          <c:order val="2"/>
          <c:tx>
            <c:strRef>
              <c:f>Summary!$A$720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7-4C8A-B84D-00A1CB92FD53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07-4C8A-B84D-00A1CB92F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(Summary!$C$720,Summary!$E$720)</c:f>
              <c:numCache>
                <c:formatCode>0%</c:formatCode>
                <c:ptCount val="2"/>
                <c:pt idx="0">
                  <c:v>8.3333333333333329E-2</c:v>
                </c:pt>
                <c:pt idx="1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07-4C8A-B84D-00A1CB92FD53}"/>
            </c:ext>
          </c:extLst>
        </c:ser>
        <c:ser>
          <c:idx val="3"/>
          <c:order val="3"/>
          <c:tx>
            <c:strRef>
              <c:f>Summary!$A$721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07-4C8A-B84D-00A1CB92FD53}"/>
                </c:ext>
              </c:extLst>
            </c:dLbl>
            <c:dLbl>
              <c:idx val="1"/>
              <c:layout>
                <c:manualLayout>
                  <c:x val="2.4658740642888595E-2"/>
                  <c:y val="-2.7350424405365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07-4C8A-B84D-00A1CB92F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(Summary!$C$721,Summary!$E$721)</c:f>
              <c:numCache>
                <c:formatCode>0%</c:formatCode>
                <c:ptCount val="2"/>
                <c:pt idx="0">
                  <c:v>0</c:v>
                </c:pt>
                <c:pt idx="1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07-4C8A-B84D-00A1CB92FD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202904"/>
        <c:axId val="427203296"/>
        <c:axId val="0"/>
      </c:bar3DChart>
      <c:catAx>
        <c:axId val="4272029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7203296"/>
        <c:crosses val="autoZero"/>
        <c:auto val="1"/>
        <c:lblAlgn val="ctr"/>
        <c:lblOffset val="100"/>
        <c:noMultiLvlLbl val="0"/>
      </c:catAx>
      <c:valAx>
        <c:axId val="42720329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202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2. My counselor</a:t>
            </a:r>
            <a:r>
              <a:rPr lang="en-US" baseline="0"/>
              <a:t> took my concerns seriously?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Summary!$A$111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EC-476A-A819-8FCFB80203B8}"/>
                </c:ext>
              </c:extLst>
            </c:dLbl>
            <c:dLbl>
              <c:idx val="1"/>
              <c:layout>
                <c:manualLayout>
                  <c:x val="1.0476497571224997E-2"/>
                  <c:y val="-2.4615635078382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EC-476A-A819-8FCFB8020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(Summary!$C$111,Summary!$E$111)</c:f>
              <c:numCache>
                <c:formatCode>0%</c:formatCode>
                <c:ptCount val="2"/>
                <c:pt idx="0">
                  <c:v>0.83842794759825323</c:v>
                </c:pt>
                <c:pt idx="1">
                  <c:v>0.63917525773195871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EC-476A-A819-8FCFB80203B8}"/>
            </c:ext>
          </c:extLst>
        </c:ser>
        <c:ser>
          <c:idx val="1"/>
          <c:order val="1"/>
          <c:tx>
            <c:strRef>
              <c:f>Summary!$A$112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EC-476A-A819-8FCFB80203B8}"/>
                </c:ext>
              </c:extLst>
            </c:dLbl>
            <c:dLbl>
              <c:idx val="1"/>
              <c:layout>
                <c:manualLayout>
                  <c:x val="1.2237836188574183E-2"/>
                  <c:y val="-3.0033922715186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EC-476A-A819-8FCFB8020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(Summary!$C$112,Summary!$E$112)</c:f>
              <c:numCache>
                <c:formatCode>0%</c:formatCode>
                <c:ptCount val="2"/>
                <c:pt idx="0">
                  <c:v>0.1222707423580786</c:v>
                </c:pt>
                <c:pt idx="1">
                  <c:v>0.17525773195876287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EC-476A-A819-8FCFB80203B8}"/>
            </c:ext>
          </c:extLst>
        </c:ser>
        <c:ser>
          <c:idx val="2"/>
          <c:order val="2"/>
          <c:tx>
            <c:strRef>
              <c:f>Summary!$A$113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EC-476A-A819-8FCFB80203B8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EC-476A-A819-8FCFB8020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(Summary!$C$113,Summary!$E$113)</c:f>
              <c:numCache>
                <c:formatCode>0%</c:formatCode>
                <c:ptCount val="2"/>
                <c:pt idx="0">
                  <c:v>2.6200873362445413E-2</c:v>
                </c:pt>
                <c:pt idx="1">
                  <c:v>4.1237113402061855E-2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EC-476A-A819-8FCFB80203B8}"/>
            </c:ext>
          </c:extLst>
        </c:ser>
        <c:ser>
          <c:idx val="3"/>
          <c:order val="3"/>
          <c:tx>
            <c:strRef>
              <c:f>Summary!$A$114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344569288389514E-2"/>
                  <c:y val="-2.4615381964828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EC-476A-A819-8FCFB80203B8}"/>
                </c:ext>
              </c:extLst>
            </c:dLbl>
            <c:dLbl>
              <c:idx val="1"/>
              <c:layout>
                <c:manualLayout>
                  <c:x val="2.8089887640449437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EC-476A-A819-8FCFB8020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(Summary!$C$114,Summary!$E$114)</c:f>
              <c:numCache>
                <c:formatCode>0%</c:formatCode>
                <c:ptCount val="2"/>
                <c:pt idx="0">
                  <c:v>1.3100436681222707E-2</c:v>
                </c:pt>
                <c:pt idx="1">
                  <c:v>0.14432989690721648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EC-476A-A819-8FCFB80203B8}"/>
            </c:ext>
          </c:extLst>
        </c:ser>
        <c:ser>
          <c:idx val="4"/>
          <c:order val="4"/>
          <c:tx>
            <c:strRef>
              <c:f>Summary!$A$115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897402025539412E-2"/>
                  <c:y val="-2.5078367154755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EC-476A-A819-8FCFB80203B8}"/>
                </c:ext>
              </c:extLst>
            </c:dLbl>
            <c:dLbl>
              <c:idx val="1"/>
              <c:layout>
                <c:manualLayout>
                  <c:x val="2.6420079260237782E-2"/>
                  <c:y val="-2.7864852394172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EC-476A-A819-8FCFB8020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(Summary!$C$115,Summary!$E$115)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2EC-476A-A819-8FCFB8020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712360"/>
        <c:axId val="427712752"/>
        <c:axId val="0"/>
      </c:bar3DChart>
      <c:catAx>
        <c:axId val="4277123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7712752"/>
        <c:crosses val="autoZero"/>
        <c:auto val="1"/>
        <c:lblAlgn val="ctr"/>
        <c:lblOffset val="100"/>
        <c:noMultiLvlLbl val="0"/>
      </c:catAx>
      <c:valAx>
        <c:axId val="42771275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712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6b. I was able to make informed choices about the services needed?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2134416487238965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Summary!$A$753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AD-4ABD-9100-C70B37128338}"/>
                </c:ext>
              </c:extLst>
            </c:dLbl>
            <c:dLbl>
              <c:idx val="1"/>
              <c:layout>
                <c:manualLayout>
                  <c:x val="1.7521852040621674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AD-4ABD-9100-C70B371283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(Summary!$C$753,Summary!$E$753)</c:f>
              <c:numCache>
                <c:formatCode>0%</c:formatCode>
                <c:ptCount val="2"/>
                <c:pt idx="0">
                  <c:v>0.5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AD-4ABD-9100-C70B37128338}"/>
            </c:ext>
          </c:extLst>
        </c:ser>
        <c:ser>
          <c:idx val="1"/>
          <c:order val="1"/>
          <c:tx>
            <c:strRef>
              <c:f>Summary!$A$754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AD-4ABD-9100-C70B37128338}"/>
                </c:ext>
              </c:extLst>
            </c:dLbl>
            <c:dLbl>
              <c:idx val="1"/>
              <c:layout>
                <c:manualLayout>
                  <c:x val="1.3999174805923368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AD-4ABD-9100-C70B371283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(Summary!$C$754,Summary!$E$754)</c:f>
              <c:numCache>
                <c:formatCode>0%</c:formatCode>
                <c:ptCount val="2"/>
                <c:pt idx="0">
                  <c:v>0.41666666666666669</c:v>
                </c:pt>
                <c:pt idx="1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AD-4ABD-9100-C70B37128338}"/>
            </c:ext>
          </c:extLst>
        </c:ser>
        <c:ser>
          <c:idx val="2"/>
          <c:order val="2"/>
          <c:tx>
            <c:strRef>
              <c:f>Summary!$A$755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AD-4ABD-9100-C70B37128338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AD-4ABD-9100-C70B371283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(Summary!$C$755,Summary!$E$755)</c:f>
              <c:numCache>
                <c:formatCode>0%</c:formatCode>
                <c:ptCount val="2"/>
                <c:pt idx="0">
                  <c:v>8.3333333333333329E-2</c:v>
                </c:pt>
                <c:pt idx="1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AD-4ABD-9100-C70B37128338}"/>
            </c:ext>
          </c:extLst>
        </c:ser>
        <c:ser>
          <c:idx val="3"/>
          <c:order val="3"/>
          <c:tx>
            <c:strRef>
              <c:f>Summary!$A$756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897402025539412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AD-4ABD-9100-C70B37128338}"/>
                </c:ext>
              </c:extLst>
            </c:dLbl>
            <c:dLbl>
              <c:idx val="1"/>
              <c:layout>
                <c:manualLayout>
                  <c:x val="2.8181417877586965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AD-4ABD-9100-C70B371283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(Summary!$C$756,Summary!$E$756)</c:f>
              <c:numCache>
                <c:formatCode>0%</c:formatCode>
                <c:ptCount val="2"/>
                <c:pt idx="0">
                  <c:v>0</c:v>
                </c:pt>
                <c:pt idx="1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AD-4ABD-9100-C70B371283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203688"/>
        <c:axId val="427204080"/>
        <c:axId val="0"/>
      </c:bar3DChart>
      <c:catAx>
        <c:axId val="4272036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7204080"/>
        <c:crosses val="autoZero"/>
        <c:auto val="1"/>
        <c:lblAlgn val="ctr"/>
        <c:lblOffset val="100"/>
        <c:noMultiLvlLbl val="0"/>
      </c:catAx>
      <c:valAx>
        <c:axId val="42720408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2036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6c. I was able to make informed choices about the provider of services?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2134416487238965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Summary!$A$788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CE-49CD-8FE0-E69AFC7438AC}"/>
                </c:ext>
              </c:extLst>
            </c:dLbl>
            <c:dLbl>
              <c:idx val="1"/>
              <c:layout>
                <c:manualLayout>
                  <c:x val="8.7151589538757464E-3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CE-49CD-8FE0-E69AFC743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(Summary!$C$788,Summary!$E$788)</c:f>
              <c:numCache>
                <c:formatCode>0%</c:formatCode>
                <c:ptCount val="2"/>
                <c:pt idx="0">
                  <c:v>0.41666666666666669</c:v>
                </c:pt>
                <c:pt idx="1">
                  <c:v>0.21428571428571427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E-49CD-8FE0-E69AFC7438AC}"/>
            </c:ext>
          </c:extLst>
        </c:ser>
        <c:ser>
          <c:idx val="1"/>
          <c:order val="1"/>
          <c:tx>
            <c:strRef>
              <c:f>Summary!$A$789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CE-49CD-8FE0-E69AFC7438AC}"/>
                </c:ext>
              </c:extLst>
            </c:dLbl>
            <c:dLbl>
              <c:idx val="1"/>
              <c:layout>
                <c:manualLayout>
                  <c:x val="1.0476497571224997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CE-49CD-8FE0-E69AFC743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(Summary!$C$789,Summary!$E$789)</c:f>
              <c:numCache>
                <c:formatCode>0%</c:formatCode>
                <c:ptCount val="2"/>
                <c:pt idx="0">
                  <c:v>0.41666666666666669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CE-49CD-8FE0-E69AFC7438AC}"/>
            </c:ext>
          </c:extLst>
        </c:ser>
        <c:ser>
          <c:idx val="2"/>
          <c:order val="2"/>
          <c:tx>
            <c:strRef>
              <c:f>Summary!$A$790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CE-49CD-8FE0-E69AFC7438AC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CE-49CD-8FE0-E69AFC743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(Summary!$C$790,Summary!$E$790)</c:f>
              <c:numCache>
                <c:formatCode>0%</c:formatCode>
                <c:ptCount val="2"/>
                <c:pt idx="0">
                  <c:v>0.16666666666666666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CE-49CD-8FE0-E69AFC7438AC}"/>
            </c:ext>
          </c:extLst>
        </c:ser>
        <c:ser>
          <c:idx val="3"/>
          <c:order val="3"/>
          <c:tx>
            <c:strRef>
              <c:f>Summary!$A$791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CE-49CD-8FE0-E69AFC7438AC}"/>
                </c:ext>
              </c:extLst>
            </c:dLbl>
            <c:dLbl>
              <c:idx val="1"/>
              <c:layout>
                <c:manualLayout>
                  <c:x val="2.113606340819022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CE-49CD-8FE0-E69AFC743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(Summary!$C$791,Summary!$E$791)</c:f>
              <c:numCache>
                <c:formatCode>0%</c:formatCode>
                <c:ptCount val="2"/>
                <c:pt idx="0">
                  <c:v>0</c:v>
                </c:pt>
                <c:pt idx="1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CE-49CD-8FE0-E69AFC7438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5611456"/>
        <c:axId val="425611848"/>
        <c:axId val="0"/>
      </c:bar3DChart>
      <c:catAx>
        <c:axId val="4256114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layout>
            <c:manualLayout>
              <c:xMode val="edge"/>
              <c:yMode val="edge"/>
              <c:x val="0.27836875080179047"/>
              <c:y val="0.85795460174120985"/>
            </c:manualLayout>
          </c:layout>
          <c:overlay val="0"/>
        </c:title>
        <c:majorTickMark val="none"/>
        <c:minorTickMark val="none"/>
        <c:tickLblPos val="nextTo"/>
        <c:crossAx val="425611848"/>
        <c:crosses val="autoZero"/>
        <c:auto val="1"/>
        <c:lblAlgn val="ctr"/>
        <c:lblOffset val="100"/>
        <c:noMultiLvlLbl val="0"/>
      </c:catAx>
      <c:valAx>
        <c:axId val="42561184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5611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6d. I received all agreed upon services?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22878582053068997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Summary!$A$823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0E-4555-9BA1-84F3614165EC}"/>
                </c:ext>
              </c:extLst>
            </c:dLbl>
            <c:dLbl>
              <c:idx val="1"/>
              <c:layout>
                <c:manualLayout>
                  <c:x val="1.2237836188574247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E-4555-9BA1-84F3614165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(Summary!$C$823,Summary!$E$823)</c:f>
              <c:numCache>
                <c:formatCode>0%</c:formatCode>
                <c:ptCount val="2"/>
                <c:pt idx="0">
                  <c:v>0.5</c:v>
                </c:pt>
                <c:pt idx="1">
                  <c:v>0.21428571428571427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0E-4555-9BA1-84F3614165EC}"/>
            </c:ext>
          </c:extLst>
        </c:ser>
        <c:ser>
          <c:idx val="1"/>
          <c:order val="1"/>
          <c:tx>
            <c:strRef>
              <c:f>Summary!$A$824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0E-4555-9BA1-84F3614165EC}"/>
                </c:ext>
              </c:extLst>
            </c:dLbl>
            <c:dLbl>
              <c:idx val="1"/>
              <c:layout>
                <c:manualLayout>
                  <c:x val="1.5760513423272553E-2"/>
                  <c:y val="-3.2820724644110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0E-4555-9BA1-84F3614165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(Summary!$C$824,Summary!$E$824)</c:f>
              <c:numCache>
                <c:formatCode>0%</c:formatCode>
                <c:ptCount val="2"/>
                <c:pt idx="0">
                  <c:v>0.375</c:v>
                </c:pt>
                <c:pt idx="1">
                  <c:v>0.4642857142857143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0E-4555-9BA1-84F3614165EC}"/>
            </c:ext>
          </c:extLst>
        </c:ser>
        <c:ser>
          <c:idx val="2"/>
          <c:order val="2"/>
          <c:tx>
            <c:strRef>
              <c:f>Summary!$A$825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0E-4555-9BA1-84F3614165EC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0E-4555-9BA1-84F3614165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(Summary!$C$825,Summary!$E$825)</c:f>
              <c:numCache>
                <c:formatCode>0%</c:formatCode>
                <c:ptCount val="2"/>
                <c:pt idx="0">
                  <c:v>0.125</c:v>
                </c:pt>
                <c:pt idx="1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0E-4555-9BA1-84F3614165EC}"/>
            </c:ext>
          </c:extLst>
        </c:ser>
        <c:ser>
          <c:idx val="3"/>
          <c:order val="3"/>
          <c:tx>
            <c:strRef>
              <c:f>Summary!$A$826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0E-4555-9BA1-84F3614165EC}"/>
                </c:ext>
              </c:extLst>
            </c:dLbl>
            <c:dLbl>
              <c:idx val="1"/>
              <c:layout>
                <c:manualLayout>
                  <c:x val="3.1704095112285335E-2"/>
                  <c:y val="-3.282050928643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0E-4555-9BA1-84F3614165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(Summary!$C$826,Summary!$E$826)</c:f>
              <c:numCache>
                <c:formatCode>0%</c:formatCode>
                <c:ptCount val="2"/>
                <c:pt idx="0">
                  <c:v>0</c:v>
                </c:pt>
                <c:pt idx="1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0E-4555-9BA1-84F3614165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5612632"/>
        <c:axId val="425613024"/>
        <c:axId val="0"/>
      </c:bar3DChart>
      <c:catAx>
        <c:axId val="425612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5613024"/>
        <c:crosses val="autoZero"/>
        <c:auto val="1"/>
        <c:lblAlgn val="ctr"/>
        <c:lblOffset val="100"/>
        <c:noMultiLvlLbl val="0"/>
      </c:catAx>
      <c:valAx>
        <c:axId val="42561302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5612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6e. I received all agreed upon services in the time frame that met my needs?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3543487381118313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Summary!$A$858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EE-4F23-8243-0237C545ADA0}"/>
                </c:ext>
              </c:extLst>
            </c:dLbl>
            <c:dLbl>
              <c:idx val="1"/>
              <c:layout>
                <c:manualLayout>
                  <c:x val="1.7521852040621674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E-4F23-8243-0237C545AD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(Summary!$C$858,Summary!$E$858)</c:f>
              <c:numCache>
                <c:formatCode>0%</c:formatCode>
                <c:ptCount val="2"/>
                <c:pt idx="0">
                  <c:v>0.20833333333333334</c:v>
                </c:pt>
                <c:pt idx="1">
                  <c:v>0.17857142857142858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EE-4F23-8243-0237C545ADA0}"/>
            </c:ext>
          </c:extLst>
        </c:ser>
        <c:ser>
          <c:idx val="1"/>
          <c:order val="1"/>
          <c:tx>
            <c:strRef>
              <c:f>Summary!$A$859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E-4F23-8243-0237C545ADA0}"/>
                </c:ext>
              </c:extLst>
            </c:dLbl>
            <c:dLbl>
              <c:idx val="1"/>
              <c:layout>
                <c:manualLayout>
                  <c:x val="1.3999174805923368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EE-4F23-8243-0237C545AD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(Summary!$C$859,Summary!$E$859)</c:f>
              <c:numCache>
                <c:formatCode>0%</c:formatCode>
                <c:ptCount val="2"/>
                <c:pt idx="0">
                  <c:v>0.58333333333333337</c:v>
                </c:pt>
                <c:pt idx="1">
                  <c:v>0.5357142857142857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EE-4F23-8243-0237C545ADA0}"/>
            </c:ext>
          </c:extLst>
        </c:ser>
        <c:ser>
          <c:idx val="2"/>
          <c:order val="2"/>
          <c:tx>
            <c:strRef>
              <c:f>Summary!$A$860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EE-4F23-8243-0237C545ADA0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EE-4F23-8243-0237C545AD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(Summary!$C$860,Summary!$E$860)</c:f>
              <c:numCache>
                <c:formatCode>0%</c:formatCode>
                <c:ptCount val="2"/>
                <c:pt idx="0">
                  <c:v>0.20833333333333334</c:v>
                </c:pt>
                <c:pt idx="1">
                  <c:v>0.21428571428571427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EE-4F23-8243-0237C545ADA0}"/>
            </c:ext>
          </c:extLst>
        </c:ser>
        <c:ser>
          <c:idx val="3"/>
          <c:order val="3"/>
          <c:tx>
            <c:strRef>
              <c:f>Summary!$A$861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EE-4F23-8243-0237C545ADA0}"/>
                </c:ext>
              </c:extLst>
            </c:dLbl>
            <c:dLbl>
              <c:idx val="1"/>
              <c:layout>
                <c:manualLayout>
                  <c:x val="3.1704095112285335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EE-4F23-8243-0237C545AD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(Summary!$C$861,Summary!$E$861)</c:f>
              <c:numCache>
                <c:formatCode>0%</c:formatCode>
                <c:ptCount val="2"/>
                <c:pt idx="0">
                  <c:v>0</c:v>
                </c:pt>
                <c:pt idx="1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EE-4F23-8243-0237C545AD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5613808"/>
        <c:axId val="425614200"/>
        <c:axId val="0"/>
      </c:bar3DChart>
      <c:catAx>
        <c:axId val="4256138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5614200"/>
        <c:crosses val="autoZero"/>
        <c:auto val="1"/>
        <c:lblAlgn val="ctr"/>
        <c:lblOffset val="100"/>
        <c:noMultiLvlLbl val="0"/>
      </c:catAx>
      <c:valAx>
        <c:axId val="42561420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5613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7. I am employed or more prepared for employment because of the services I received?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6185495307142089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Summary!$A$893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92-4F3F-A3EF-526819495599}"/>
                </c:ext>
              </c:extLst>
            </c:dLbl>
            <c:dLbl>
              <c:idx val="1"/>
              <c:layout>
                <c:manualLayout>
                  <c:x val="1.3999174805923368E-2"/>
                  <c:y val="-2.461559732250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2-4F3F-A3EF-526819495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(Summary!$C$893,Summary!$E$893)</c:f>
              <c:numCache>
                <c:formatCode>0%</c:formatCode>
                <c:ptCount val="2"/>
                <c:pt idx="0">
                  <c:v>0.68995633187772931</c:v>
                </c:pt>
                <c:pt idx="1">
                  <c:v>0.31958762886597936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92-4F3F-A3EF-526819495599}"/>
            </c:ext>
          </c:extLst>
        </c:ser>
        <c:ser>
          <c:idx val="1"/>
          <c:order val="1"/>
          <c:tx>
            <c:strRef>
              <c:f>Summary!$A$894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92-4F3F-A3EF-526819495599}"/>
                </c:ext>
              </c:extLst>
            </c:dLbl>
            <c:dLbl>
              <c:idx val="1"/>
              <c:layout>
                <c:manualLayout>
                  <c:x val="1.223783618857418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92-4F3F-A3EF-526819495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(Summary!$C$894,Summary!$E$894)</c:f>
              <c:numCache>
                <c:formatCode>0%</c:formatCode>
                <c:ptCount val="2"/>
                <c:pt idx="0">
                  <c:v>0.16157205240174671</c:v>
                </c:pt>
                <c:pt idx="1">
                  <c:v>0.22680412371134021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92-4F3F-A3EF-526819495599}"/>
            </c:ext>
          </c:extLst>
        </c:ser>
        <c:ser>
          <c:idx val="2"/>
          <c:order val="2"/>
          <c:tx>
            <c:strRef>
              <c:f>Summary!$A$895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92-4F3F-A3EF-526819495599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92-4F3F-A3EF-526819495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(Summary!$C$895,Summary!$E$895)</c:f>
              <c:numCache>
                <c:formatCode>0%</c:formatCode>
                <c:ptCount val="2"/>
                <c:pt idx="0">
                  <c:v>6.5502183406113537E-2</c:v>
                </c:pt>
                <c:pt idx="1">
                  <c:v>0.10309278350515463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92-4F3F-A3EF-526819495599}"/>
            </c:ext>
          </c:extLst>
        </c:ser>
        <c:ser>
          <c:idx val="3"/>
          <c:order val="3"/>
          <c:tx>
            <c:strRef>
              <c:f>Summary!$A$896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613386173491855E-2"/>
                  <c:y val="-1.91452970837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92-4F3F-A3EF-526819495599}"/>
                </c:ext>
              </c:extLst>
            </c:dLbl>
            <c:dLbl>
              <c:idx val="1"/>
              <c:layout>
                <c:manualLayout>
                  <c:x val="2.1136063408190225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92-4F3F-A3EF-526819495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(Summary!$C$896,Summary!$E$896)</c:f>
              <c:numCache>
                <c:formatCode>0%</c:formatCode>
                <c:ptCount val="2"/>
                <c:pt idx="0">
                  <c:v>3.9301310043668124E-2</c:v>
                </c:pt>
                <c:pt idx="1">
                  <c:v>0.29896907216494845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92-4F3F-A3EF-526819495599}"/>
            </c:ext>
          </c:extLst>
        </c:ser>
        <c:ser>
          <c:idx val="4"/>
          <c:order val="4"/>
          <c:tx>
            <c:strRef>
              <c:f>Summary!$A$897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852047556142668E-2"/>
                  <c:y val="-2.188033952429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92-4F3F-A3EF-526819495599}"/>
                </c:ext>
              </c:extLst>
            </c:dLbl>
            <c:dLbl>
              <c:idx val="1"/>
              <c:layout>
                <c:manualLayout>
                  <c:x val="1.585204755614266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92-4F3F-A3EF-526819495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(Summary!$C$897,Summary!$E$897)</c:f>
              <c:numCache>
                <c:formatCode>0%</c:formatCode>
                <c:ptCount val="2"/>
                <c:pt idx="0">
                  <c:v>4.3668122270742356E-2</c:v>
                </c:pt>
                <c:pt idx="1">
                  <c:v>5.1546391752577317E-2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92-4F3F-A3EF-5268194955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106384"/>
        <c:axId val="427106776"/>
        <c:axId val="0"/>
      </c:bar3DChart>
      <c:catAx>
        <c:axId val="4271063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7106776"/>
        <c:crosses val="autoZero"/>
        <c:auto val="1"/>
        <c:lblAlgn val="ctr"/>
        <c:lblOffset val="100"/>
        <c:noMultiLvlLbl val="0"/>
      </c:catAx>
      <c:valAx>
        <c:axId val="42710677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1063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7a. Services I received helped to decrease or remove the challenges I had related to employment?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1606014902034209"/>
          <c:y val="3.00854668459016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Summary!$A$928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6-4425-AB84-9952D6EE4470}"/>
                </c:ext>
              </c:extLst>
            </c:dLbl>
            <c:dLbl>
              <c:idx val="1"/>
              <c:layout>
                <c:manualLayout>
                  <c:x val="1.2237836188574183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6-4425-AB84-9952D6EE4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(Summary!$C$928,Summary!$E$928)</c:f>
              <c:numCache>
                <c:formatCode>0%</c:formatCode>
                <c:ptCount val="2"/>
                <c:pt idx="0">
                  <c:v>0.20833333333333334</c:v>
                </c:pt>
                <c:pt idx="1">
                  <c:v>0.10256410256410256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96-4425-AB84-9952D6EE4470}"/>
            </c:ext>
          </c:extLst>
        </c:ser>
        <c:ser>
          <c:idx val="1"/>
          <c:order val="1"/>
          <c:tx>
            <c:strRef>
              <c:f>Summary!$A$929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6-4425-AB84-9952D6EE4470}"/>
                </c:ext>
              </c:extLst>
            </c:dLbl>
            <c:dLbl>
              <c:idx val="1"/>
              <c:layout>
                <c:manualLayout>
                  <c:x val="1.3999174805923368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96-4425-AB84-9952D6EE4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(Summary!$C$929,Summary!$E$929)</c:f>
              <c:numCache>
                <c:formatCode>0%</c:formatCode>
                <c:ptCount val="2"/>
                <c:pt idx="0">
                  <c:v>0.54166666666666663</c:v>
                </c:pt>
                <c:pt idx="1">
                  <c:v>0.5641025641025641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96-4425-AB84-9952D6EE4470}"/>
            </c:ext>
          </c:extLst>
        </c:ser>
        <c:ser>
          <c:idx val="2"/>
          <c:order val="2"/>
          <c:tx>
            <c:strRef>
              <c:f>Summary!$A$930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6-4425-AB84-9952D6EE4470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6-4425-AB84-9952D6EE4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(Summary!$C$930,Summary!$E$930)</c:f>
              <c:numCache>
                <c:formatCode>0%</c:formatCode>
                <c:ptCount val="2"/>
                <c:pt idx="0">
                  <c:v>0.25</c:v>
                </c:pt>
                <c:pt idx="1">
                  <c:v>0.28205128205128205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96-4425-AB84-9952D6EE4470}"/>
            </c:ext>
          </c:extLst>
        </c:ser>
        <c:ser>
          <c:idx val="3"/>
          <c:order val="3"/>
          <c:tx>
            <c:strRef>
              <c:f>Summary!$A$931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613386173491855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6-4425-AB84-9952D6EE4470}"/>
                </c:ext>
              </c:extLst>
            </c:dLbl>
            <c:dLbl>
              <c:idx val="1"/>
              <c:layout>
                <c:manualLayout>
                  <c:x val="2.113606340819022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6-4425-AB84-9952D6EE4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(Summary!$C$931,Summary!$E$931)</c:f>
              <c:numCache>
                <c:formatCode>0%</c:formatCode>
                <c:ptCount val="2"/>
                <c:pt idx="0">
                  <c:v>0</c:v>
                </c:pt>
                <c:pt idx="1">
                  <c:v>5.128205128205128E-2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6-4425-AB84-9952D6EE44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107560"/>
        <c:axId val="427107952"/>
        <c:axId val="0"/>
      </c:bar3DChart>
      <c:catAx>
        <c:axId val="4271075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7107952"/>
        <c:crosses val="autoZero"/>
        <c:auto val="1"/>
        <c:lblAlgn val="ctr"/>
        <c:lblOffset val="100"/>
        <c:noMultiLvlLbl val="0"/>
      </c:catAx>
      <c:valAx>
        <c:axId val="42710795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107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7b. I can independently search for employment?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7946833924491276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Summary!$A$963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77-4E7F-84C7-86D52A6C9DF1}"/>
                </c:ext>
              </c:extLst>
            </c:dLbl>
            <c:dLbl>
              <c:idx val="1"/>
              <c:layout>
                <c:manualLayout>
                  <c:x val="1.2237836188574247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77-4E7F-84C7-86D52A6C9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(Summary!$C$963,Summary!$E$963)</c:f>
              <c:numCache>
                <c:formatCode>0%</c:formatCode>
                <c:ptCount val="2"/>
                <c:pt idx="0">
                  <c:v>0.75</c:v>
                </c:pt>
                <c:pt idx="1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7-4E7F-84C7-86D52A6C9DF1}"/>
            </c:ext>
          </c:extLst>
        </c:ser>
        <c:ser>
          <c:idx val="1"/>
          <c:order val="1"/>
          <c:tx>
            <c:strRef>
              <c:f>Summary!$A$964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77-4E7F-84C7-86D52A6C9DF1}"/>
                </c:ext>
              </c:extLst>
            </c:dLbl>
            <c:dLbl>
              <c:idx val="1"/>
              <c:layout>
                <c:manualLayout>
                  <c:x val="1.2237836188574183E-2"/>
                  <c:y val="-3.2820724644110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77-4E7F-84C7-86D52A6C9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(Summary!$C$964,Summary!$E$964)</c:f>
              <c:numCache>
                <c:formatCode>0%</c:formatCode>
                <c:ptCount val="2"/>
                <c:pt idx="0">
                  <c:v>0.20833333333333334</c:v>
                </c:pt>
                <c:pt idx="1">
                  <c:v>0.23076923076923078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77-4E7F-84C7-86D52A6C9DF1}"/>
            </c:ext>
          </c:extLst>
        </c:ser>
        <c:ser>
          <c:idx val="2"/>
          <c:order val="2"/>
          <c:tx>
            <c:strRef>
              <c:f>Summary!$A$965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77-4E7F-84C7-86D52A6C9DF1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77-4E7F-84C7-86D52A6C9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(Summary!$C$965,Summary!$E$965)</c:f>
              <c:numCache>
                <c:formatCode>0%</c:formatCode>
                <c:ptCount val="2"/>
                <c:pt idx="0">
                  <c:v>4.1666666666666664E-2</c:v>
                </c:pt>
                <c:pt idx="1">
                  <c:v>0.25641025641025639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77-4E7F-84C7-86D52A6C9DF1}"/>
            </c:ext>
          </c:extLst>
        </c:ser>
        <c:ser>
          <c:idx val="3"/>
          <c:order val="3"/>
          <c:tx>
            <c:strRef>
              <c:f>Summary!$A$966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77-4E7F-84C7-86D52A6C9DF1}"/>
                </c:ext>
              </c:extLst>
            </c:dLbl>
            <c:dLbl>
              <c:idx val="1"/>
              <c:layout>
                <c:manualLayout>
                  <c:x val="2.6420079260237782E-2"/>
                  <c:y val="-3.0085466845901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77-4E7F-84C7-86D52A6C9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(Summary!$C$966,Summary!$E$966)</c:f>
              <c:numCache>
                <c:formatCode>0%</c:formatCode>
                <c:ptCount val="2"/>
                <c:pt idx="0">
                  <c:v>0</c:v>
                </c:pt>
                <c:pt idx="1">
                  <c:v>5.128205128205128E-2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E77-4E7F-84C7-86D52A6C9D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108736"/>
        <c:axId val="427109128"/>
        <c:axId val="0"/>
      </c:bar3DChart>
      <c:catAx>
        <c:axId val="4271087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7109128"/>
        <c:crosses val="autoZero"/>
        <c:auto val="1"/>
        <c:lblAlgn val="ctr"/>
        <c:lblOffset val="100"/>
        <c:noMultiLvlLbl val="0"/>
      </c:catAx>
      <c:valAx>
        <c:axId val="42710912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1087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7c. I can identify and request appropriate accommodations from an employer?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1077613316829453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Summary!$A$998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4D-4C25-A480-22B918920701}"/>
                </c:ext>
              </c:extLst>
            </c:dLbl>
            <c:dLbl>
              <c:idx val="1"/>
              <c:layout>
                <c:manualLayout>
                  <c:x val="1.3999174805923303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4D-4C25-A480-22B9189207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(Summary!$C$998,Summary!$E$998)</c:f>
              <c:numCache>
                <c:formatCode>0%</c:formatCode>
                <c:ptCount val="2"/>
                <c:pt idx="0">
                  <c:v>0.54166666666666663</c:v>
                </c:pt>
                <c:pt idx="1">
                  <c:v>0.25641025641025639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4D-4C25-A480-22B918920701}"/>
            </c:ext>
          </c:extLst>
        </c:ser>
        <c:ser>
          <c:idx val="1"/>
          <c:order val="1"/>
          <c:tx>
            <c:strRef>
              <c:f>Summary!$A$999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4D-4C25-A480-22B918920701}"/>
                </c:ext>
              </c:extLst>
            </c:dLbl>
            <c:dLbl>
              <c:idx val="1"/>
              <c:layout>
                <c:manualLayout>
                  <c:x val="1.576051342327255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4D-4C25-A480-22B9189207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(Summary!$C$999,Summary!$E$999)</c:f>
              <c:numCache>
                <c:formatCode>0%</c:formatCode>
                <c:ptCount val="2"/>
                <c:pt idx="0">
                  <c:v>0.33333333333333331</c:v>
                </c:pt>
                <c:pt idx="1">
                  <c:v>0.28205128205128205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4D-4C25-A480-22B918920701}"/>
            </c:ext>
          </c:extLst>
        </c:ser>
        <c:ser>
          <c:idx val="2"/>
          <c:order val="2"/>
          <c:tx>
            <c:strRef>
              <c:f>Summary!$A$1000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4D-4C25-A480-22B918920701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4D-4C25-A480-22B9189207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(Summary!$C$1000,Summary!$E$1000)</c:f>
              <c:numCache>
                <c:formatCode>0%</c:formatCode>
                <c:ptCount val="2"/>
                <c:pt idx="0">
                  <c:v>0.125</c:v>
                </c:pt>
                <c:pt idx="1">
                  <c:v>0.41025641025641024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4D-4C25-A480-22B918920701}"/>
            </c:ext>
          </c:extLst>
        </c:ser>
        <c:ser>
          <c:idx val="3"/>
          <c:order val="3"/>
          <c:tx>
            <c:strRef>
              <c:f>Summary!$A$1001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4D-4C25-A480-22B918920701}"/>
                </c:ext>
              </c:extLst>
            </c:dLbl>
            <c:dLbl>
              <c:idx val="1"/>
              <c:layout>
                <c:manualLayout>
                  <c:x val="2.9942756494936152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4D-4C25-A480-22B9189207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(Summary!$C$1001,Summary!$E$1001)</c:f>
              <c:numCache>
                <c:formatCode>0%</c:formatCode>
                <c:ptCount val="2"/>
                <c:pt idx="0">
                  <c:v>0</c:v>
                </c:pt>
                <c:pt idx="1">
                  <c:v>5.128205128205128E-2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74D-4C25-A480-22B9189207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109912"/>
        <c:axId val="426351408"/>
        <c:axId val="0"/>
      </c:bar3DChart>
      <c:catAx>
        <c:axId val="4271099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6351408"/>
        <c:crosses val="autoZero"/>
        <c:auto val="1"/>
        <c:lblAlgn val="ctr"/>
        <c:lblOffset val="100"/>
        <c:noMultiLvlLbl val="0"/>
      </c:catAx>
      <c:valAx>
        <c:axId val="42635140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109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7d. I obtained or am more prepared for a job that matches my skills and interests?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2134416487238965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Summary!$A$1033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A-4682-9B82-975CCC1129CE}"/>
                </c:ext>
              </c:extLst>
            </c:dLbl>
            <c:dLbl>
              <c:idx val="1"/>
              <c:layout>
                <c:manualLayout>
                  <c:x val="1.223783618857411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A-4682-9B82-975CCC112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(Summary!$C$1033,Summary!$E$1033)</c:f>
              <c:numCache>
                <c:formatCode>0%</c:formatCode>
                <c:ptCount val="2"/>
                <c:pt idx="0">
                  <c:v>0.45833333333333331</c:v>
                </c:pt>
                <c:pt idx="1">
                  <c:v>0.10256410256410256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1A-4682-9B82-975CCC1129CE}"/>
            </c:ext>
          </c:extLst>
        </c:ser>
        <c:ser>
          <c:idx val="1"/>
          <c:order val="1"/>
          <c:tx>
            <c:strRef>
              <c:f>Summary!$A$1034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1A-4682-9B82-975CCC1129CE}"/>
                </c:ext>
              </c:extLst>
            </c:dLbl>
            <c:dLbl>
              <c:idx val="1"/>
              <c:layout>
                <c:manualLayout>
                  <c:x val="1.0476497571224997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1A-4682-9B82-975CCC112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(Summary!$C$1034,Summary!$E$1034)</c:f>
              <c:numCache>
                <c:formatCode>0%</c:formatCode>
                <c:ptCount val="2"/>
                <c:pt idx="0">
                  <c:v>0.33333333333333331</c:v>
                </c:pt>
                <c:pt idx="1">
                  <c:v>0.41025641025641024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1A-4682-9B82-975CCC1129CE}"/>
            </c:ext>
          </c:extLst>
        </c:ser>
        <c:ser>
          <c:idx val="2"/>
          <c:order val="2"/>
          <c:tx>
            <c:strRef>
              <c:f>Summary!$A$1035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1A-4682-9B82-975CCC1129CE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1A-4682-9B82-975CCC112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(Summary!$C$1035,Summary!$E$1035)</c:f>
              <c:numCache>
                <c:formatCode>0%</c:formatCode>
                <c:ptCount val="2"/>
                <c:pt idx="0">
                  <c:v>0.20833333333333334</c:v>
                </c:pt>
                <c:pt idx="1">
                  <c:v>0.41025641025641024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1A-4682-9B82-975CCC1129CE}"/>
            </c:ext>
          </c:extLst>
        </c:ser>
        <c:ser>
          <c:idx val="3"/>
          <c:order val="3"/>
          <c:tx>
            <c:strRef>
              <c:f>Summary!$A$1036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897402025539412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1A-4682-9B82-975CCC1129CE}"/>
                </c:ext>
              </c:extLst>
            </c:dLbl>
            <c:dLbl>
              <c:idx val="1"/>
              <c:layout>
                <c:manualLayout>
                  <c:x val="2.113606340819022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1A-4682-9B82-975CCC112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(Summary!$C$1036,Summary!$E$1036)</c:f>
              <c:numCache>
                <c:formatCode>0%</c:formatCode>
                <c:ptCount val="2"/>
                <c:pt idx="0">
                  <c:v>0</c:v>
                </c:pt>
                <c:pt idx="1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1A-4682-9B82-975CCC1129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6352192"/>
        <c:axId val="426352584"/>
        <c:axId val="0"/>
      </c:bar3DChart>
      <c:catAx>
        <c:axId val="4263521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6352584"/>
        <c:crosses val="autoZero"/>
        <c:auto val="1"/>
        <c:lblAlgn val="ctr"/>
        <c:lblOffset val="100"/>
        <c:noMultiLvlLbl val="0"/>
      </c:catAx>
      <c:valAx>
        <c:axId val="4263525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6352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7e. IVRS staff helped me achieve my employment goal?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7946833924491276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Summary!$A$1068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71-47F1-ABBD-9D6A02E9E044}"/>
                </c:ext>
              </c:extLst>
            </c:dLbl>
            <c:dLbl>
              <c:idx val="1"/>
              <c:layout>
                <c:manualLayout>
                  <c:x val="1.3999174805923303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71-47F1-ABBD-9D6A02E9E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(Summary!$C$1068,Summary!$E$1068)</c:f>
              <c:numCache>
                <c:formatCode>0%</c:formatCode>
                <c:ptCount val="2"/>
                <c:pt idx="0">
                  <c:v>0.20833333333333334</c:v>
                </c:pt>
                <c:pt idx="1">
                  <c:v>5.128205128205128E-2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71-47F1-ABBD-9D6A02E9E044}"/>
            </c:ext>
          </c:extLst>
        </c:ser>
        <c:ser>
          <c:idx val="1"/>
          <c:order val="1"/>
          <c:tx>
            <c:strRef>
              <c:f>Summary!$A$1069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71-47F1-ABBD-9D6A02E9E044}"/>
                </c:ext>
              </c:extLst>
            </c:dLbl>
            <c:dLbl>
              <c:idx val="1"/>
              <c:layout>
                <c:manualLayout>
                  <c:x val="1.223783618857418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71-47F1-ABBD-9D6A02E9E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(Summary!$C$1069,Summary!$E$1069)</c:f>
              <c:numCache>
                <c:formatCode>0%</c:formatCode>
                <c:ptCount val="2"/>
                <c:pt idx="0">
                  <c:v>0.625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71-47F1-ABBD-9D6A02E9E044}"/>
            </c:ext>
          </c:extLst>
        </c:ser>
        <c:ser>
          <c:idx val="2"/>
          <c:order val="2"/>
          <c:tx>
            <c:strRef>
              <c:f>Summary!$A$1070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71-47F1-ABBD-9D6A02E9E044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71-47F1-ABBD-9D6A02E9E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(Summary!$C$1070,Summary!$E$1070)</c:f>
              <c:numCache>
                <c:formatCode>0%</c:formatCode>
                <c:ptCount val="2"/>
                <c:pt idx="0">
                  <c:v>0.16666666666666666</c:v>
                </c:pt>
                <c:pt idx="1">
                  <c:v>0.23076923076923078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71-47F1-ABBD-9D6A02E9E044}"/>
            </c:ext>
          </c:extLst>
        </c:ser>
        <c:ser>
          <c:idx val="3"/>
          <c:order val="3"/>
          <c:tx>
            <c:strRef>
              <c:f>Summary!$A$1071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613386173491855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71-47F1-ABBD-9D6A02E9E044}"/>
                </c:ext>
              </c:extLst>
            </c:dLbl>
            <c:dLbl>
              <c:idx val="1"/>
              <c:layout>
                <c:manualLayout>
                  <c:x val="1.9374724790841038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71-47F1-ABBD-9D6A02E9E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(Summary!$C$1071,Summary!$E$1071)</c:f>
              <c:numCache>
                <c:formatCode>0%</c:formatCode>
                <c:ptCount val="2"/>
                <c:pt idx="0">
                  <c:v>0</c:v>
                </c:pt>
                <c:pt idx="1">
                  <c:v>5.128205128205128E-2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71-47F1-ABBD-9D6A02E9E0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6353368"/>
        <c:axId val="426353760"/>
        <c:axId val="0"/>
      </c:bar3DChart>
      <c:catAx>
        <c:axId val="4263533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6353760"/>
        <c:crosses val="autoZero"/>
        <c:auto val="1"/>
        <c:lblAlgn val="ctr"/>
        <c:lblOffset val="100"/>
        <c:noMultiLvlLbl val="0"/>
      </c:catAx>
      <c:valAx>
        <c:axId val="4263537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6353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2a. My counselor took the time to listen to my concerns?</a:t>
            </a:r>
            <a:endParaRPr lang="en-US" b="1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Summary!$A$148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E9-4913-AE5C-5ACBB8CD646E}"/>
                </c:ext>
              </c:extLst>
            </c:dLbl>
            <c:dLbl>
              <c:idx val="1"/>
              <c:layout>
                <c:manualLayout>
                  <c:x val="8.7151589538758765E-3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E9-4913-AE5C-5ACBB8CD64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(Summary!$C$148,Summary!$E$148)</c:f>
              <c:numCache>
                <c:formatCode>0%</c:formatCode>
                <c:ptCount val="2"/>
                <c:pt idx="0">
                  <c:v>0.33333333333333331</c:v>
                </c:pt>
                <c:pt idx="1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9-4913-AE5C-5ACBB8CD646E}"/>
            </c:ext>
          </c:extLst>
        </c:ser>
        <c:ser>
          <c:idx val="1"/>
          <c:order val="1"/>
          <c:tx>
            <c:strRef>
              <c:f>Summary!$A$149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E9-4913-AE5C-5ACBB8CD646E}"/>
                </c:ext>
              </c:extLst>
            </c:dLbl>
            <c:dLbl>
              <c:idx val="1"/>
              <c:layout>
                <c:manualLayout>
                  <c:x val="1.2237836188574183E-2"/>
                  <c:y val="-3.2820724644110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E9-4913-AE5C-5ACBB8CD64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(Summary!$C$149,Summary!$E$149)</c:f>
              <c:numCache>
                <c:formatCode>0%</c:formatCode>
                <c:ptCount val="2"/>
                <c:pt idx="0">
                  <c:v>0.33333333333333331</c:v>
                </c:pt>
                <c:pt idx="1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E9-4913-AE5C-5ACBB8CD646E}"/>
            </c:ext>
          </c:extLst>
        </c:ser>
        <c:ser>
          <c:idx val="2"/>
          <c:order val="2"/>
          <c:tx>
            <c:strRef>
              <c:f>Summary!$A$150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E9-4913-AE5C-5ACBB8CD646E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E9-4913-AE5C-5ACBB8CD64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(Summary!$C$150,Summary!$E$150)</c:f>
              <c:numCache>
                <c:formatCode>0%</c:formatCode>
                <c:ptCount val="2"/>
                <c:pt idx="0">
                  <c:v>0.22222222222222221</c:v>
                </c:pt>
                <c:pt idx="1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E9-4913-AE5C-5ACBB8CD646E}"/>
            </c:ext>
          </c:extLst>
        </c:ser>
        <c:ser>
          <c:idx val="3"/>
          <c:order val="3"/>
          <c:tx>
            <c:strRef>
              <c:f>Summary!$A$151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7350424405365212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E9-4913-AE5C-5ACBB8CD646E}"/>
                </c:ext>
              </c:extLst>
            </c:dLbl>
            <c:dLbl>
              <c:idx val="1"/>
              <c:layout>
                <c:manualLayout>
                  <c:x val="1.9374724790841038E-2"/>
                  <c:y val="-3.0085466845901652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E9-4913-AE5C-5ACBB8CD646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(Summary!$C$151,Summary!$E$151)</c:f>
              <c:numCache>
                <c:formatCode>0%</c:formatCode>
                <c:ptCount val="2"/>
                <c:pt idx="0">
                  <c:v>0.1111111111111111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E9-4913-AE5C-5ACBB8CD64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713928"/>
        <c:axId val="427714320"/>
        <c:axId val="0"/>
      </c:bar3DChart>
      <c:catAx>
        <c:axId val="4277139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7714320"/>
        <c:crosses val="autoZero"/>
        <c:auto val="1"/>
        <c:lblAlgn val="ctr"/>
        <c:lblOffset val="100"/>
        <c:noMultiLvlLbl val="0"/>
      </c:catAx>
      <c:valAx>
        <c:axId val="42771432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713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8. In addition to IVRS, I needed assistance from other agencies for non-employment related needs? (i.e. housing, food assistance)?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371962124285323"/>
          <c:y val="2.461538196482864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Summary!$A$1103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20-46B7-A239-7F45FFA6DAF6}"/>
                </c:ext>
              </c:extLst>
            </c:dLbl>
            <c:dLbl>
              <c:idx val="1"/>
              <c:layout>
                <c:manualLayout>
                  <c:x val="1.2237836188574183E-2"/>
                  <c:y val="-1.914551244142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20-46B7-A239-7F45FFA6D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(Summary!$C$1103,Summary!$E$1103)</c:f>
              <c:numCache>
                <c:formatCode>0%</c:formatCode>
                <c:ptCount val="2"/>
                <c:pt idx="0">
                  <c:v>0.27510917030567683</c:v>
                </c:pt>
                <c:pt idx="1">
                  <c:v>0.30927835051546393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0-46B7-A239-7F45FFA6DAF6}"/>
            </c:ext>
          </c:extLst>
        </c:ser>
        <c:ser>
          <c:idx val="1"/>
          <c:order val="1"/>
          <c:tx>
            <c:strRef>
              <c:f>Summary!$A$1104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20-46B7-A239-7F45FFA6DAF6}"/>
                </c:ext>
              </c:extLst>
            </c:dLbl>
            <c:dLbl>
              <c:idx val="1"/>
              <c:layout>
                <c:manualLayout>
                  <c:x val="1.5760513423272553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20-46B7-A239-7F45FFA6D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(Summary!$C$1104,Summary!$E$1104)</c:f>
              <c:numCache>
                <c:formatCode>0%</c:formatCode>
                <c:ptCount val="2"/>
                <c:pt idx="0">
                  <c:v>0.11790393013100436</c:v>
                </c:pt>
                <c:pt idx="1">
                  <c:v>4.1237113402061855E-2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20-46B7-A239-7F45FFA6DAF6}"/>
            </c:ext>
          </c:extLst>
        </c:ser>
        <c:ser>
          <c:idx val="2"/>
          <c:order val="2"/>
          <c:tx>
            <c:strRef>
              <c:f>Summary!$A$1105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20-46B7-A239-7F45FFA6DAF6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20-46B7-A239-7F45FFA6D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(Summary!$C$1105,Summary!$E$1105)</c:f>
              <c:numCache>
                <c:formatCode>0%</c:formatCode>
                <c:ptCount val="2"/>
                <c:pt idx="0">
                  <c:v>9.606986899563319E-2</c:v>
                </c:pt>
                <c:pt idx="1">
                  <c:v>0.1134020618556701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20-46B7-A239-7F45FFA6DAF6}"/>
            </c:ext>
          </c:extLst>
        </c:ser>
        <c:ser>
          <c:idx val="3"/>
          <c:order val="3"/>
          <c:tx>
            <c:strRef>
              <c:f>Summary!$A$1106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613386173491855E-2"/>
                  <c:y val="-1.641025464321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20-46B7-A239-7F45FFA6DAF6}"/>
                </c:ext>
              </c:extLst>
            </c:dLbl>
            <c:dLbl>
              <c:idx val="1"/>
              <c:layout>
                <c:manualLayout>
                  <c:x val="1.7613386173491855E-2"/>
                  <c:y val="-1.91452970837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20-46B7-A239-7F45FFA6D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(Summary!$C$1106,Summary!$E$1106)</c:f>
              <c:numCache>
                <c:formatCode>0%</c:formatCode>
                <c:ptCount val="2"/>
                <c:pt idx="0">
                  <c:v>0.44104803493449779</c:v>
                </c:pt>
                <c:pt idx="1">
                  <c:v>0.4845360824742268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20-46B7-A239-7F45FFA6DAF6}"/>
            </c:ext>
          </c:extLst>
        </c:ser>
        <c:ser>
          <c:idx val="4"/>
          <c:order val="4"/>
          <c:tx>
            <c:strRef>
              <c:f>Summary!$A$1107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852047556142668E-2"/>
                  <c:y val="-2.188033952429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20-46B7-A239-7F45FFA6DAF6}"/>
                </c:ext>
              </c:extLst>
            </c:dLbl>
            <c:dLbl>
              <c:idx val="1"/>
              <c:layout>
                <c:manualLayout>
                  <c:x val="1.5852047556142668E-2"/>
                  <c:y val="-1.91452970837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20-46B7-A239-7F45FFA6D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(Summary!$C$1107,Summary!$E$1107)</c:f>
              <c:numCache>
                <c:formatCode>0%</c:formatCode>
                <c:ptCount val="2"/>
                <c:pt idx="0">
                  <c:v>6.9868995633187769E-2</c:v>
                </c:pt>
                <c:pt idx="1">
                  <c:v>5.1546391752577317E-2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D20-46B7-A239-7F45FFA6DA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6354544"/>
        <c:axId val="426354936"/>
        <c:axId val="0"/>
      </c:bar3DChart>
      <c:catAx>
        <c:axId val="4263545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6354936"/>
        <c:crosses val="autoZero"/>
        <c:auto val="1"/>
        <c:lblAlgn val="ctr"/>
        <c:lblOffset val="100"/>
        <c:noMultiLvlLbl val="0"/>
      </c:catAx>
      <c:valAx>
        <c:axId val="42635493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6354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8a. I was given information about other programs that could help me with my non-employment related needs?</a:t>
            </a:r>
            <a:endParaRPr lang="en-US" b="1"/>
          </a:p>
        </c:rich>
      </c:tx>
      <c:layout>
        <c:manualLayout>
          <c:xMode val="edge"/>
          <c:yMode val="edge"/>
          <c:x val="0.11958282625504046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Summary!$A$1139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1A-4DFE-9C70-D837374CE19F}"/>
                </c:ext>
              </c:extLst>
            </c:dLbl>
            <c:dLbl>
              <c:idx val="1"/>
              <c:layout>
                <c:manualLayout>
                  <c:x val="1.0476497571224933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1A-4DFE-9C70-D837374CE1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(Summary!$C$1139,Summary!$E$1139)</c:f>
              <c:numCache>
                <c:formatCode>0%</c:formatCode>
                <c:ptCount val="2"/>
                <c:pt idx="0">
                  <c:v>0.61111111111111116</c:v>
                </c:pt>
                <c:pt idx="1">
                  <c:v>0.41176470588235292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1A-4DFE-9C70-D837374CE19F}"/>
            </c:ext>
          </c:extLst>
        </c:ser>
        <c:ser>
          <c:idx val="1"/>
          <c:order val="1"/>
          <c:tx>
            <c:strRef>
              <c:f>Summary!$A$1140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1A-4DFE-9C70-D837374CE19F}"/>
                </c:ext>
              </c:extLst>
            </c:dLbl>
            <c:dLbl>
              <c:idx val="1"/>
              <c:layout>
                <c:manualLayout>
                  <c:x val="1.3999174805923368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1A-4DFE-9C70-D837374CE1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(Summary!$C$1140,Summary!$E$1140)</c:f>
              <c:numCache>
                <c:formatCode>0%</c:formatCode>
                <c:ptCount val="2"/>
                <c:pt idx="0">
                  <c:v>6.6666666666666666E-2</c:v>
                </c:pt>
                <c:pt idx="1">
                  <c:v>0.14705882352941177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1A-4DFE-9C70-D837374CE19F}"/>
            </c:ext>
          </c:extLst>
        </c:ser>
        <c:ser>
          <c:idx val="2"/>
          <c:order val="2"/>
          <c:tx>
            <c:strRef>
              <c:f>Summary!$A$1141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1A-4DFE-9C70-D837374CE19F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1A-4DFE-9C70-D837374CE1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(Summary!$C$1141,Summary!$E$1141)</c:f>
              <c:numCache>
                <c:formatCode>0%</c:formatCode>
                <c:ptCount val="2"/>
                <c:pt idx="0">
                  <c:v>0.22222222222222221</c:v>
                </c:pt>
                <c:pt idx="1">
                  <c:v>0.23529411764705882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1A-4DFE-9C70-D837374CE19F}"/>
            </c:ext>
          </c:extLst>
        </c:ser>
        <c:ser>
          <c:idx val="3"/>
          <c:order val="3"/>
          <c:tx>
            <c:strRef>
              <c:f>Summary!$A$1142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852047556142668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1A-4DFE-9C70-D837374CE19F}"/>
                </c:ext>
              </c:extLst>
            </c:dLbl>
            <c:dLbl>
              <c:idx val="1"/>
              <c:layout>
                <c:manualLayout>
                  <c:x val="2.2897402025539412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1A-4DFE-9C70-D837374CE1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(Summary!$C$1142,Summary!$E$1142)</c:f>
              <c:numCache>
                <c:formatCode>0%</c:formatCode>
                <c:ptCount val="2"/>
                <c:pt idx="0">
                  <c:v>0.1</c:v>
                </c:pt>
                <c:pt idx="1">
                  <c:v>0.20588235294117646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1A-4DFE-9C70-D837374CE1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6120424"/>
        <c:axId val="426120816"/>
        <c:axId val="0"/>
      </c:bar3DChart>
      <c:catAx>
        <c:axId val="4261204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6120816"/>
        <c:crosses val="autoZero"/>
        <c:auto val="1"/>
        <c:lblAlgn val="ctr"/>
        <c:lblOffset val="100"/>
        <c:noMultiLvlLbl val="0"/>
      </c:catAx>
      <c:valAx>
        <c:axId val="42612081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6120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8b. I was connected to other programs for assistance with my non-employment related needs?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2310550348973884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Summary!$A$1174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1-4ED4-9C56-023E677B46C3}"/>
                </c:ext>
              </c:extLst>
            </c:dLbl>
            <c:dLbl>
              <c:idx val="1"/>
              <c:layout>
                <c:manualLayout>
                  <c:x val="8.7151589538758765E-3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1-4ED4-9C56-023E677B46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(Summary!$C$1174,Summary!$E$1174)</c:f>
              <c:numCache>
                <c:formatCode>0%</c:formatCode>
                <c:ptCount val="2"/>
                <c:pt idx="0">
                  <c:v>0.5444444444444444</c:v>
                </c:pt>
                <c:pt idx="1">
                  <c:v>0.41176470588235292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1-4ED4-9C56-023E677B46C3}"/>
            </c:ext>
          </c:extLst>
        </c:ser>
        <c:ser>
          <c:idx val="1"/>
          <c:order val="1"/>
          <c:tx>
            <c:strRef>
              <c:f>Summary!$A$1175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1-4ED4-9C56-023E677B46C3}"/>
                </c:ext>
              </c:extLst>
            </c:dLbl>
            <c:dLbl>
              <c:idx val="1"/>
              <c:layout>
                <c:manualLayout>
                  <c:x val="1.752185204062174E-2"/>
                  <c:y val="-3.2820724644110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1-4ED4-9C56-023E677B46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(Summary!$C$1175,Summary!$E$1175)</c:f>
              <c:numCache>
                <c:formatCode>0%</c:formatCode>
                <c:ptCount val="2"/>
                <c:pt idx="0">
                  <c:v>8.8888888888888892E-2</c:v>
                </c:pt>
                <c:pt idx="1">
                  <c:v>0.23529411764705882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31-4ED4-9C56-023E677B46C3}"/>
            </c:ext>
          </c:extLst>
        </c:ser>
        <c:ser>
          <c:idx val="2"/>
          <c:order val="2"/>
          <c:tx>
            <c:strRef>
              <c:f>Summary!$A$1176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1-4ED4-9C56-023E677B46C3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1-4ED4-9C56-023E677B46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(Summary!$C$1176,Summary!$E$1176)</c:f>
              <c:numCache>
                <c:formatCode>0%</c:formatCode>
                <c:ptCount val="2"/>
                <c:pt idx="0">
                  <c:v>0.25555555555555554</c:v>
                </c:pt>
                <c:pt idx="1">
                  <c:v>0.14705882352941177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31-4ED4-9C56-023E677B46C3}"/>
            </c:ext>
          </c:extLst>
        </c:ser>
        <c:ser>
          <c:idx val="3"/>
          <c:order val="3"/>
          <c:tx>
            <c:strRef>
              <c:f>Summary!$A$1177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613386173491855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1-4ED4-9C56-023E677B46C3}"/>
                </c:ext>
              </c:extLst>
            </c:dLbl>
            <c:dLbl>
              <c:idx val="1"/>
              <c:layout>
                <c:manualLayout>
                  <c:x val="2.4658740642888595E-2"/>
                  <c:y val="-2.461538196482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1-4ED4-9C56-023E677B46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(Summary!$C$1177,Summary!$E$1177)</c:f>
              <c:numCache>
                <c:formatCode>0%</c:formatCode>
                <c:ptCount val="2"/>
                <c:pt idx="0">
                  <c:v>0.1111111111111111</c:v>
                </c:pt>
                <c:pt idx="1">
                  <c:v>0.20588235294117646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31-4ED4-9C56-023E677B46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6121600"/>
        <c:axId val="426121992"/>
        <c:axId val="0"/>
      </c:bar3DChart>
      <c:catAx>
        <c:axId val="4261216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6121992"/>
        <c:crosses val="autoZero"/>
        <c:auto val="1"/>
        <c:lblAlgn val="ctr"/>
        <c:lblOffset val="100"/>
        <c:noMultiLvlLbl val="0"/>
      </c:catAx>
      <c:valAx>
        <c:axId val="42612199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6121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8c. I have received the assistance I needed from the other agencies?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1958282625504046"/>
          <c:y val="2.461538196482864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Summary!$A$1209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20-4E4D-9CAD-E995D9DA8AF4}"/>
                </c:ext>
              </c:extLst>
            </c:dLbl>
            <c:dLbl>
              <c:idx val="1"/>
              <c:layout>
                <c:manualLayout>
                  <c:x val="1.223783618857411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0-4E4D-9CAD-E995D9DA8A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(Summary!$C$1209,Summary!$E$1209)</c:f>
              <c:numCache>
                <c:formatCode>0%</c:formatCode>
                <c:ptCount val="2"/>
                <c:pt idx="0">
                  <c:v>0.62222222222222223</c:v>
                </c:pt>
                <c:pt idx="1">
                  <c:v>0.41176470588235292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0-4E4D-9CAD-E995D9DA8AF4}"/>
            </c:ext>
          </c:extLst>
        </c:ser>
        <c:ser>
          <c:idx val="1"/>
          <c:order val="1"/>
          <c:tx>
            <c:strRef>
              <c:f>Summary!$A$1210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0-4E4D-9CAD-E995D9DA8AF4}"/>
                </c:ext>
              </c:extLst>
            </c:dLbl>
            <c:dLbl>
              <c:idx val="1"/>
              <c:layout>
                <c:manualLayout>
                  <c:x val="8.7151589538758123E-3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0-4E4D-9CAD-E995D9DA8A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(Summary!$C$1210,Summary!$E$1210)</c:f>
              <c:numCache>
                <c:formatCode>0%</c:formatCode>
                <c:ptCount val="2"/>
                <c:pt idx="0">
                  <c:v>7.7777777777777779E-2</c:v>
                </c:pt>
                <c:pt idx="1">
                  <c:v>0.26470588235294118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20-4E4D-9CAD-E995D9DA8AF4}"/>
            </c:ext>
          </c:extLst>
        </c:ser>
        <c:ser>
          <c:idx val="2"/>
          <c:order val="2"/>
          <c:tx>
            <c:strRef>
              <c:f>Summary!$A$1211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0-4E4D-9CAD-E995D9DA8AF4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20-4E4D-9CAD-E995D9DA8A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(Summary!$C$1211,Summary!$E$1211)</c:f>
              <c:numCache>
                <c:formatCode>0%</c:formatCode>
                <c:ptCount val="2"/>
                <c:pt idx="0">
                  <c:v>0.18888888888888888</c:v>
                </c:pt>
                <c:pt idx="1">
                  <c:v>0.11764705882352941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20-4E4D-9CAD-E995D9DA8AF4}"/>
            </c:ext>
          </c:extLst>
        </c:ser>
        <c:ser>
          <c:idx val="3"/>
          <c:order val="3"/>
          <c:tx>
            <c:strRef>
              <c:f>Summary!$A$1212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20-4E4D-9CAD-E995D9DA8AF4}"/>
                </c:ext>
              </c:extLst>
            </c:dLbl>
            <c:dLbl>
              <c:idx val="1"/>
              <c:layout>
                <c:manualLayout>
                  <c:x val="3.1704095112285335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20-4E4D-9CAD-E995D9DA8A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(Summary!$C$1212,Summary!$E$1212)</c:f>
              <c:numCache>
                <c:formatCode>0%</c:formatCode>
                <c:ptCount val="2"/>
                <c:pt idx="0">
                  <c:v>0.1111111111111111</c:v>
                </c:pt>
                <c:pt idx="1">
                  <c:v>0.20588235294117646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20-4E4D-9CAD-E995D9DA8A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6122776"/>
        <c:axId val="426123168"/>
        <c:axId val="0"/>
      </c:bar3DChart>
      <c:catAx>
        <c:axId val="4261227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6123168"/>
        <c:crosses val="autoZero"/>
        <c:auto val="1"/>
        <c:lblAlgn val="ctr"/>
        <c:lblOffset val="100"/>
        <c:noMultiLvlLbl val="0"/>
      </c:catAx>
      <c:valAx>
        <c:axId val="4261231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61227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8d. I am currently on a waiting list for services from the other agencies?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477642441326274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Summary!$A$1244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17-4FD8-BA4B-657B862B764E}"/>
                </c:ext>
              </c:extLst>
            </c:dLbl>
            <c:dLbl>
              <c:idx val="1"/>
              <c:layout>
                <c:manualLayout>
                  <c:x val="1.3999174805923303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17-4FD8-BA4B-657B862B76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(Summary!$C$1244,Summary!$E$1244)</c:f>
              <c:numCache>
                <c:formatCode>0%</c:formatCode>
                <c:ptCount val="2"/>
                <c:pt idx="0">
                  <c:v>0.2</c:v>
                </c:pt>
                <c:pt idx="1">
                  <c:v>0.20588235294117646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17-4FD8-BA4B-657B862B764E}"/>
            </c:ext>
          </c:extLst>
        </c:ser>
        <c:ser>
          <c:idx val="1"/>
          <c:order val="1"/>
          <c:tx>
            <c:strRef>
              <c:f>Summary!$A$1245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17-4FD8-BA4B-657B862B764E}"/>
                </c:ext>
              </c:extLst>
            </c:dLbl>
            <c:dLbl>
              <c:idx val="1"/>
              <c:layout>
                <c:manualLayout>
                  <c:x val="8.7151589538758123E-3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17-4FD8-BA4B-657B862B76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(Summary!$C$1245,Summary!$E$1245)</c:f>
              <c:numCache>
                <c:formatCode>0%</c:formatCode>
                <c:ptCount val="2"/>
                <c:pt idx="0">
                  <c:v>0.27777777777777779</c:v>
                </c:pt>
                <c:pt idx="1">
                  <c:v>0.38235294117647056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17-4FD8-BA4B-657B862B764E}"/>
            </c:ext>
          </c:extLst>
        </c:ser>
        <c:ser>
          <c:idx val="2"/>
          <c:order val="2"/>
          <c:tx>
            <c:strRef>
              <c:f>Summary!$A$1246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17-4FD8-BA4B-657B862B764E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17-4FD8-BA4B-657B862B76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(Summary!$C$1246,Summary!$E$1246)</c:f>
              <c:numCache>
                <c:formatCode>0%</c:formatCode>
                <c:ptCount val="2"/>
                <c:pt idx="0">
                  <c:v>0.42222222222222222</c:v>
                </c:pt>
                <c:pt idx="1">
                  <c:v>0.20588235294117646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17-4FD8-BA4B-657B862B764E}"/>
            </c:ext>
          </c:extLst>
        </c:ser>
        <c:ser>
          <c:idx val="3"/>
          <c:order val="3"/>
          <c:tx>
            <c:strRef>
              <c:f>Summary!$A$1247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3.0085466845901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17-4FD8-BA4B-657B862B764E}"/>
                </c:ext>
              </c:extLst>
            </c:dLbl>
            <c:dLbl>
              <c:idx val="1"/>
              <c:layout>
                <c:manualLayout>
                  <c:x val="3.170409511228533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17-4FD8-BA4B-657B862B76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(Summary!$C$1247,Summary!$E$1247)</c:f>
              <c:numCache>
                <c:formatCode>0%</c:formatCode>
                <c:ptCount val="2"/>
                <c:pt idx="0">
                  <c:v>0.1</c:v>
                </c:pt>
                <c:pt idx="1">
                  <c:v>0.20588235294117646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17-4FD8-BA4B-657B862B76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2978368"/>
        <c:axId val="342978760"/>
        <c:axId val="0"/>
      </c:bar3DChart>
      <c:catAx>
        <c:axId val="3429783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2978760"/>
        <c:crosses val="autoZero"/>
        <c:auto val="1"/>
        <c:lblAlgn val="ctr"/>
        <c:lblOffset val="100"/>
        <c:noMultiLvlLbl val="0"/>
      </c:catAx>
      <c:valAx>
        <c:axId val="3429787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2978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9. I needed services that IVRS could not provide before I was ready for employment?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7946833924491276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Summary!$A$1314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61-4782-8F2B-ECDFE23D2BB9}"/>
                </c:ext>
              </c:extLst>
            </c:dLbl>
            <c:dLbl>
              <c:idx val="1"/>
              <c:layout>
                <c:manualLayout>
                  <c:x val="1.3999174805923368E-2"/>
                  <c:y val="-2.461559732250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61-4782-8F2B-ECDFE23D2B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(Summary!$C$1314,Summary!$E$1314)</c:f>
              <c:numCache>
                <c:formatCode>0%</c:formatCode>
                <c:ptCount val="2"/>
                <c:pt idx="0">
                  <c:v>0.11353711790393013</c:v>
                </c:pt>
                <c:pt idx="1">
                  <c:v>0.21649484536082475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61-4782-8F2B-ECDFE23D2BB9}"/>
            </c:ext>
          </c:extLst>
        </c:ser>
        <c:ser>
          <c:idx val="1"/>
          <c:order val="1"/>
          <c:tx>
            <c:strRef>
              <c:f>Summary!$A$1315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61-4782-8F2B-ECDFE23D2BB9}"/>
                </c:ext>
              </c:extLst>
            </c:dLbl>
            <c:dLbl>
              <c:idx val="1"/>
              <c:layout>
                <c:manualLayout>
                  <c:x val="1.2237836188574183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61-4782-8F2B-ECDFE23D2B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(Summary!$C$1315,Summary!$E$1315)</c:f>
              <c:numCache>
                <c:formatCode>0%</c:formatCode>
                <c:ptCount val="2"/>
                <c:pt idx="0">
                  <c:v>9.606986899563319E-2</c:v>
                </c:pt>
                <c:pt idx="1">
                  <c:v>7.2164948453608241E-2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61-4782-8F2B-ECDFE23D2BB9}"/>
            </c:ext>
          </c:extLst>
        </c:ser>
        <c:ser>
          <c:idx val="2"/>
          <c:order val="2"/>
          <c:tx>
            <c:strRef>
              <c:f>Summary!$A$1316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61-4782-8F2B-ECDFE23D2BB9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61-4782-8F2B-ECDFE23D2B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(Summary!$C$1316,Summary!$E$1316)</c:f>
              <c:numCache>
                <c:formatCode>0%</c:formatCode>
                <c:ptCount val="2"/>
                <c:pt idx="0">
                  <c:v>0.10043668122270742</c:v>
                </c:pt>
                <c:pt idx="1">
                  <c:v>0.16494845360824742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61-4782-8F2B-ECDFE23D2BB9}"/>
            </c:ext>
          </c:extLst>
        </c:ser>
        <c:ser>
          <c:idx val="3"/>
          <c:order val="3"/>
          <c:tx>
            <c:strRef>
              <c:f>Summary!$A$1317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65874064288859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61-4782-8F2B-ECDFE23D2BB9}"/>
                </c:ext>
              </c:extLst>
            </c:dLbl>
            <c:dLbl>
              <c:idx val="1"/>
              <c:layout>
                <c:manualLayout>
                  <c:x val="1.761338617349185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61-4782-8F2B-ECDFE23D2B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(Summary!$C$1317,Summary!$E$1317)</c:f>
              <c:numCache>
                <c:formatCode>0%</c:formatCode>
                <c:ptCount val="2"/>
                <c:pt idx="0">
                  <c:v>0.59825327510917026</c:v>
                </c:pt>
                <c:pt idx="1">
                  <c:v>0.46391752577319589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B61-4782-8F2B-ECDFE23D2BB9}"/>
            </c:ext>
          </c:extLst>
        </c:ser>
        <c:ser>
          <c:idx val="4"/>
          <c:order val="4"/>
          <c:tx>
            <c:strRef>
              <c:f>Summary!$A$1318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613386173491855E-2"/>
                  <c:y val="-2.188033952429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61-4782-8F2B-ECDFE23D2BB9}"/>
                </c:ext>
              </c:extLst>
            </c:dLbl>
            <c:dLbl>
              <c:idx val="1"/>
              <c:layout>
                <c:manualLayout>
                  <c:x val="2.113606340819022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61-4782-8F2B-ECDFE23D2B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(Summary!$C$1318,Summary!$E$1318)</c:f>
              <c:numCache>
                <c:formatCode>0%</c:formatCode>
                <c:ptCount val="2"/>
                <c:pt idx="0">
                  <c:v>9.1703056768558958E-2</c:v>
                </c:pt>
                <c:pt idx="1">
                  <c:v>8.247422680412371E-2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61-4782-8F2B-ECDFE23D2B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2979544"/>
        <c:axId val="342979936"/>
        <c:axId val="0"/>
      </c:bar3DChart>
      <c:catAx>
        <c:axId val="3429795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2979936"/>
        <c:crosses val="autoZero"/>
        <c:auto val="1"/>
        <c:lblAlgn val="ctr"/>
        <c:lblOffset val="100"/>
        <c:noMultiLvlLbl val="0"/>
      </c:catAx>
      <c:valAx>
        <c:axId val="34297993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2979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10. I had a satisfactory experience through IVRS?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7946833924491276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Summary!$A$1350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0D-4A01-B33F-C0D9226D355B}"/>
                </c:ext>
              </c:extLst>
            </c:dLbl>
            <c:dLbl>
              <c:idx val="1"/>
              <c:layout>
                <c:manualLayout>
                  <c:x val="1.5760513423272553E-2"/>
                  <c:y val="-2.461559732250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0D-4A01-B33F-C0D9226D35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(Summary!$C$1350,Summary!$E$1350)</c:f>
              <c:numCache>
                <c:formatCode>0%</c:formatCode>
                <c:ptCount val="2"/>
                <c:pt idx="0">
                  <c:v>0.72925764192139741</c:v>
                </c:pt>
                <c:pt idx="1">
                  <c:v>0.54639175257731953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0D-4A01-B33F-C0D9226D355B}"/>
            </c:ext>
          </c:extLst>
        </c:ser>
        <c:ser>
          <c:idx val="1"/>
          <c:order val="1"/>
          <c:tx>
            <c:strRef>
              <c:f>Summary!$A$1351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0D-4A01-B33F-C0D9226D355B}"/>
                </c:ext>
              </c:extLst>
            </c:dLbl>
            <c:dLbl>
              <c:idx val="1"/>
              <c:layout>
                <c:manualLayout>
                  <c:x val="1.223783618857418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0D-4A01-B33F-C0D9226D35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(Summary!$C$1351,Summary!$E$1351)</c:f>
              <c:numCache>
                <c:formatCode>0%</c:formatCode>
                <c:ptCount val="2"/>
                <c:pt idx="0">
                  <c:v>0.13537117903930132</c:v>
                </c:pt>
                <c:pt idx="1">
                  <c:v>0.18556701030927836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0D-4A01-B33F-C0D9226D355B}"/>
            </c:ext>
          </c:extLst>
        </c:ser>
        <c:ser>
          <c:idx val="2"/>
          <c:order val="2"/>
          <c:tx>
            <c:strRef>
              <c:f>Summary!$A$1352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0D-4A01-B33F-C0D9226D355B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0D-4A01-B33F-C0D9226D35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(Summary!$C$1352,Summary!$E$1352)</c:f>
              <c:numCache>
                <c:formatCode>0%</c:formatCode>
                <c:ptCount val="2"/>
                <c:pt idx="0">
                  <c:v>3.0567685589519649E-2</c:v>
                </c:pt>
                <c:pt idx="1">
                  <c:v>6.1855670103092786E-2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0D-4A01-B33F-C0D9226D355B}"/>
            </c:ext>
          </c:extLst>
        </c:ser>
        <c:ser>
          <c:idx val="3"/>
          <c:order val="3"/>
          <c:tx>
            <c:strRef>
              <c:f>Summary!$A$1353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420079260237782E-2"/>
                  <c:y val="-1.91452970837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0D-4A01-B33F-C0D9226D355B}"/>
                </c:ext>
              </c:extLst>
            </c:dLbl>
            <c:dLbl>
              <c:idx val="1"/>
              <c:layout>
                <c:manualLayout>
                  <c:x val="2.1136063408190225E-2"/>
                  <c:y val="-1.91452970837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0D-4A01-B33F-C0D9226D35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(Summary!$C$1353,Summary!$E$1353)</c:f>
              <c:numCache>
                <c:formatCode>0%</c:formatCode>
                <c:ptCount val="2"/>
                <c:pt idx="0">
                  <c:v>3.0567685589519649E-2</c:v>
                </c:pt>
                <c:pt idx="1">
                  <c:v>0.14432989690721648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0D-4A01-B33F-C0D9226D355B}"/>
            </c:ext>
          </c:extLst>
        </c:ser>
        <c:ser>
          <c:idx val="4"/>
          <c:order val="4"/>
          <c:tx>
            <c:strRef>
              <c:f>Summary!$A$1354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0D-4A01-B33F-C0D9226D355B}"/>
                </c:ext>
              </c:extLst>
            </c:dLbl>
            <c:dLbl>
              <c:idx val="1"/>
              <c:layout>
                <c:manualLayout>
                  <c:x val="2.2897402025539412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0D-4A01-B33F-C0D9226D35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(Summary!$C$1354,Summary!$E$1354)</c:f>
              <c:numCache>
                <c:formatCode>0%</c:formatCode>
                <c:ptCount val="2"/>
                <c:pt idx="0">
                  <c:v>7.4235807860262015E-2</c:v>
                </c:pt>
                <c:pt idx="1">
                  <c:v>6.1855670103092786E-2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D0D-4A01-B33F-C0D9226D35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5555168"/>
        <c:axId val="425555560"/>
        <c:axId val="0"/>
      </c:bar3DChart>
      <c:catAx>
        <c:axId val="4255551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5555560"/>
        <c:crosses val="autoZero"/>
        <c:auto val="1"/>
        <c:lblAlgn val="ctr"/>
        <c:lblOffset val="100"/>
        <c:noMultiLvlLbl val="0"/>
      </c:catAx>
      <c:valAx>
        <c:axId val="4255555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5555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11. When I applied for services, I was given an overview of the vocational rehabilitation process that I undersood?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1253747178564372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Summary!$A$1384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8C-4D87-95DB-433CEA184FE9}"/>
                </c:ext>
              </c:extLst>
            </c:dLbl>
            <c:dLbl>
              <c:idx val="1"/>
              <c:layout>
                <c:manualLayout>
                  <c:x val="1.3999174805923368E-2"/>
                  <c:y val="-2.461559732250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C-4D87-95DB-433CEA184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(Summary!$C$1384,Summary!$E$1384)</c:f>
              <c:numCache>
                <c:formatCode>0%</c:formatCode>
                <c:ptCount val="2"/>
                <c:pt idx="0">
                  <c:v>0.72925764192139741</c:v>
                </c:pt>
                <c:pt idx="1">
                  <c:v>0.5670103092783505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C-4D87-95DB-433CEA184FE9}"/>
            </c:ext>
          </c:extLst>
        </c:ser>
        <c:ser>
          <c:idx val="1"/>
          <c:order val="1"/>
          <c:tx>
            <c:strRef>
              <c:f>Summary!$A$1385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C-4D87-95DB-433CEA184FE9}"/>
                </c:ext>
              </c:extLst>
            </c:dLbl>
            <c:dLbl>
              <c:idx val="1"/>
              <c:layout>
                <c:manualLayout>
                  <c:x val="1.223783618857418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C-4D87-95DB-433CEA184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(Summary!$C$1385,Summary!$E$1385)</c:f>
              <c:numCache>
                <c:formatCode>0%</c:formatCode>
                <c:ptCount val="2"/>
                <c:pt idx="0">
                  <c:v>0.15720524017467249</c:v>
                </c:pt>
                <c:pt idx="1">
                  <c:v>0.24742268041237114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8C-4D87-95DB-433CEA184FE9}"/>
            </c:ext>
          </c:extLst>
        </c:ser>
        <c:ser>
          <c:idx val="2"/>
          <c:order val="2"/>
          <c:tx>
            <c:strRef>
              <c:f>Summary!$A$1386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C-4D87-95DB-433CEA184FE9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8C-4D87-95DB-433CEA184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(Summary!$C$1386,Summary!$E$1386)</c:f>
              <c:numCache>
                <c:formatCode>0%</c:formatCode>
                <c:ptCount val="2"/>
                <c:pt idx="0">
                  <c:v>3.0567685589519649E-2</c:v>
                </c:pt>
                <c:pt idx="1">
                  <c:v>8.247422680412371E-2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8C-4D87-95DB-433CEA184FE9}"/>
            </c:ext>
          </c:extLst>
        </c:ser>
        <c:ser>
          <c:idx val="3"/>
          <c:order val="3"/>
          <c:tx>
            <c:strRef>
              <c:f>Summary!$A$1387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85204755614266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8C-4D87-95DB-433CEA184FE9}"/>
                </c:ext>
              </c:extLst>
            </c:dLbl>
            <c:dLbl>
              <c:idx val="1"/>
              <c:layout>
                <c:manualLayout>
                  <c:x val="2.113606340819022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8C-4D87-95DB-433CEA184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(Summary!$C$1387,Summary!$E$1387)</c:f>
              <c:numCache>
                <c:formatCode>0%</c:formatCode>
                <c:ptCount val="2"/>
                <c:pt idx="0">
                  <c:v>1.3100436681222707E-2</c:v>
                </c:pt>
                <c:pt idx="1">
                  <c:v>4.1237113402061855E-2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8C-4D87-95DB-433CEA184FE9}"/>
            </c:ext>
          </c:extLst>
        </c:ser>
        <c:ser>
          <c:idx val="4"/>
          <c:order val="4"/>
          <c:tx>
            <c:strRef>
              <c:f>Summary!$A$1388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852047556142668E-2"/>
                  <c:y val="-1.9145297083755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8C-4D87-95DB-433CEA184FE9}"/>
                </c:ext>
              </c:extLst>
            </c:dLbl>
            <c:dLbl>
              <c:idx val="1"/>
              <c:layout>
                <c:manualLayout>
                  <c:x val="2.2897402025539412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8C-4D87-95DB-433CEA184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(Summary!$C$1388,Summary!$E$1388)</c:f>
              <c:numCache>
                <c:formatCode>0%</c:formatCode>
                <c:ptCount val="2"/>
                <c:pt idx="0">
                  <c:v>6.9868995633187769E-2</c:v>
                </c:pt>
                <c:pt idx="1">
                  <c:v>6.1855670103092786E-2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8C-4D87-95DB-433CEA184F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0385800"/>
        <c:axId val="340386192"/>
        <c:axId val="0"/>
      </c:bar3DChart>
      <c:catAx>
        <c:axId val="3403858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0386192"/>
        <c:crosses val="autoZero"/>
        <c:auto val="1"/>
        <c:lblAlgn val="ctr"/>
        <c:lblOffset val="100"/>
        <c:noMultiLvlLbl val="0"/>
      </c:catAx>
      <c:valAx>
        <c:axId val="34038619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0385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11a. Staff explained that employment is the purpose of services?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4071888966323068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Summary!$A$1417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76-4CCD-AD49-9AB2A6A0E900}"/>
                </c:ext>
              </c:extLst>
            </c:dLbl>
            <c:dLbl>
              <c:idx val="1"/>
              <c:layout>
                <c:manualLayout>
                  <c:x val="1.3999174805923303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76-4CCD-AD49-9AB2A6A0E9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(Summary!$C$1417,Summary!$E$1417)</c:f>
              <c:numCache>
                <c:formatCode>0%</c:formatCode>
                <c:ptCount val="2"/>
                <c:pt idx="0">
                  <c:v>0.6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6-4CCD-AD49-9AB2A6A0E900}"/>
            </c:ext>
          </c:extLst>
        </c:ser>
        <c:ser>
          <c:idx val="1"/>
          <c:order val="1"/>
          <c:tx>
            <c:strRef>
              <c:f>Summary!$A$1418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76-4CCD-AD49-9AB2A6A0E900}"/>
                </c:ext>
              </c:extLst>
            </c:dLbl>
            <c:dLbl>
              <c:idx val="1"/>
              <c:layout>
                <c:manualLayout>
                  <c:x val="1.752185204062174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76-4CCD-AD49-9AB2A6A0E9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(Summary!$C$1418,Summary!$E$1418)</c:f>
              <c:numCache>
                <c:formatCode>0%</c:formatCode>
                <c:ptCount val="2"/>
                <c:pt idx="0">
                  <c:v>0.3</c:v>
                </c:pt>
                <c:pt idx="1">
                  <c:v>0.41666666666666669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76-4CCD-AD49-9AB2A6A0E900}"/>
            </c:ext>
          </c:extLst>
        </c:ser>
        <c:ser>
          <c:idx val="2"/>
          <c:order val="2"/>
          <c:tx>
            <c:strRef>
              <c:f>Summary!$A$1419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76-4CCD-AD49-9AB2A6A0E900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76-4CCD-AD49-9AB2A6A0E9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(Summary!$C$1419,Summary!$E$1419)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76-4CCD-AD49-9AB2A6A0E900}"/>
            </c:ext>
          </c:extLst>
        </c:ser>
        <c:ser>
          <c:idx val="3"/>
          <c:order val="3"/>
          <c:tx>
            <c:strRef>
              <c:f>Summary!$A$1420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76-4CCD-AD49-9AB2A6A0E900}"/>
                </c:ext>
              </c:extLst>
            </c:dLbl>
            <c:dLbl>
              <c:idx val="1"/>
              <c:layout>
                <c:manualLayout>
                  <c:x val="2.6420079260237782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76-4CCD-AD49-9AB2A6A0E9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(Summary!$C$1420,Summary!$E$1420)</c:f>
              <c:numCache>
                <c:formatCode>0%</c:formatCode>
                <c:ptCount val="2"/>
                <c:pt idx="0">
                  <c:v>0</c:v>
                </c:pt>
                <c:pt idx="1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76-4CCD-AD49-9AB2A6A0E9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0386976"/>
        <c:axId val="340387368"/>
        <c:axId val="0"/>
      </c:bar3DChart>
      <c:catAx>
        <c:axId val="3403869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0387368"/>
        <c:crosses val="autoZero"/>
        <c:auto val="1"/>
        <c:lblAlgn val="ctr"/>
        <c:lblOffset val="100"/>
        <c:noMultiLvlLbl val="0"/>
      </c:catAx>
      <c:valAx>
        <c:axId val="3403873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0386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11b. Staff explained the process that I would follow?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4071888966323068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Summary!$A$1452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1-4B35-A978-929347E05D76}"/>
                </c:ext>
              </c:extLst>
            </c:dLbl>
            <c:dLbl>
              <c:idx val="1"/>
              <c:layout>
                <c:manualLayout>
                  <c:x val="1.2237836188574247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F1-4B35-A978-929347E05D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(Summary!$C$1452,Summary!$E$1452)</c:f>
              <c:numCache>
                <c:formatCode>0%</c:formatCode>
                <c:ptCount val="2"/>
                <c:pt idx="0">
                  <c:v>0.4</c:v>
                </c:pt>
                <c:pt idx="1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1-4B35-A978-929347E05D76}"/>
            </c:ext>
          </c:extLst>
        </c:ser>
        <c:ser>
          <c:idx val="1"/>
          <c:order val="1"/>
          <c:tx>
            <c:strRef>
              <c:f>Summary!$A$1453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F1-4B35-A978-929347E05D76}"/>
                </c:ext>
              </c:extLst>
            </c:dLbl>
            <c:dLbl>
              <c:idx val="1"/>
              <c:layout>
                <c:manualLayout>
                  <c:x val="1.3999174805923368E-2"/>
                  <c:y val="-3.2820724644110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F1-4B35-A978-929347E05D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(Summary!$C$1453,Summary!$E$1453)</c:f>
              <c:numCache>
                <c:formatCode>0%</c:formatCode>
                <c:ptCount val="2"/>
                <c:pt idx="0">
                  <c:v>0.5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F1-4B35-A978-929347E05D76}"/>
            </c:ext>
          </c:extLst>
        </c:ser>
        <c:ser>
          <c:idx val="2"/>
          <c:order val="2"/>
          <c:tx>
            <c:strRef>
              <c:f>Summary!$A$1454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F1-4B35-A978-929347E05D76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F1-4B35-A978-929347E05D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(Summary!$C$1454,Summary!$E$1454)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F1-4B35-A978-929347E05D76}"/>
            </c:ext>
          </c:extLst>
        </c:ser>
        <c:ser>
          <c:idx val="3"/>
          <c:order val="3"/>
          <c:tx>
            <c:strRef>
              <c:f>Summary!$A$1455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F1-4B35-A978-929347E05D76}"/>
                </c:ext>
              </c:extLst>
            </c:dLbl>
            <c:dLbl>
              <c:idx val="1"/>
              <c:layout>
                <c:manualLayout>
                  <c:x val="2.9942756494936152E-2"/>
                  <c:y val="-3.0085466845901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F1-4B35-A978-929347E05D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(Summary!$C$1455,Summary!$E$1455)</c:f>
              <c:numCache>
                <c:formatCode>0%</c:formatCode>
                <c:ptCount val="2"/>
                <c:pt idx="0">
                  <c:v>0</c:v>
                </c:pt>
                <c:pt idx="1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F1-4B35-A978-929347E05D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0388152"/>
        <c:axId val="340388544"/>
        <c:axId val="0"/>
      </c:bar3DChart>
      <c:catAx>
        <c:axId val="34038815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0388544"/>
        <c:crosses val="autoZero"/>
        <c:auto val="1"/>
        <c:lblAlgn val="ctr"/>
        <c:lblOffset val="100"/>
        <c:noMultiLvlLbl val="0"/>
      </c:catAx>
      <c:valAx>
        <c:axId val="34038854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0388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2b. My counselor took my opinion into consideration and responded appropriately?</a:t>
            </a:r>
            <a:endParaRPr lang="en-US" b="1"/>
          </a:p>
        </c:rich>
      </c:tx>
      <c:layout>
        <c:manualLayout>
          <c:xMode val="edge"/>
          <c:yMode val="edge"/>
          <c:x val="9.6685393258426969E-2"/>
          <c:y val="3.00854668459016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Summary!$A$184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42-4EBA-8E68-771018C3E6BA}"/>
                </c:ext>
              </c:extLst>
            </c:dLbl>
            <c:dLbl>
              <c:idx val="1"/>
              <c:layout>
                <c:manualLayout>
                  <c:x val="1.6698044844790057E-3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42-4EBA-8E68-771018C3E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(Summary!$C$184,Summary!$E$184)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42-4EBA-8E68-771018C3E6BA}"/>
            </c:ext>
          </c:extLst>
        </c:ser>
        <c:ser>
          <c:idx val="1"/>
          <c:order val="1"/>
          <c:tx>
            <c:strRef>
              <c:f>Summary!$A$185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42-4EBA-8E68-771018C3E6BA}"/>
                </c:ext>
              </c:extLst>
            </c:dLbl>
            <c:dLbl>
              <c:idx val="1"/>
              <c:layout>
                <c:manualLayout>
                  <c:x val="1.223783618857418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42-4EBA-8E68-771018C3E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(Summary!$C$185,Summary!$E$185)</c:f>
              <c:numCache>
                <c:formatCode>0%</c:formatCode>
                <c:ptCount val="2"/>
                <c:pt idx="0">
                  <c:v>0.55555555555555558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42-4EBA-8E68-771018C3E6BA}"/>
            </c:ext>
          </c:extLst>
        </c:ser>
        <c:ser>
          <c:idx val="2"/>
          <c:order val="2"/>
          <c:tx>
            <c:strRef>
              <c:f>Summary!$A$186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42-4EBA-8E68-771018C3E6BA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42-4EBA-8E68-771018C3E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(Summary!$C$186,Summary!$E$186)</c:f>
              <c:numCache>
                <c:formatCode>0%</c:formatCode>
                <c:ptCount val="2"/>
                <c:pt idx="0">
                  <c:v>0.33333333333333331</c:v>
                </c:pt>
                <c:pt idx="1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42-4EBA-8E68-771018C3E6BA}"/>
            </c:ext>
          </c:extLst>
        </c:ser>
        <c:ser>
          <c:idx val="3"/>
          <c:order val="3"/>
          <c:tx>
            <c:strRef>
              <c:f>Summary!$A$187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658740642888595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42-4EBA-8E68-771018C3E6BA}"/>
                </c:ext>
              </c:extLst>
            </c:dLbl>
            <c:dLbl>
              <c:idx val="1"/>
              <c:layout>
                <c:manualLayout>
                  <c:x val="2.8181417877586965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42-4EBA-8E68-771018C3E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(Summary!$C$187,Summary!$E$187)</c:f>
              <c:numCache>
                <c:formatCode>0%</c:formatCode>
                <c:ptCount val="2"/>
                <c:pt idx="0">
                  <c:v>0.1111111111111111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142-4EBA-8E68-771018C3E6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715104"/>
        <c:axId val="427715496"/>
        <c:axId val="0"/>
      </c:bar3DChart>
      <c:catAx>
        <c:axId val="4277151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7715496"/>
        <c:crosses val="autoZero"/>
        <c:auto val="1"/>
        <c:lblAlgn val="ctr"/>
        <c:lblOffset val="100"/>
        <c:noMultiLvlLbl val="0"/>
      </c:catAx>
      <c:valAx>
        <c:axId val="42771549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715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11c. Staff explained my rights and responsibilities as a partner in the process?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4071888966323068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Summary!$A$1487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86-4309-9C8A-8BAA31D671B8}"/>
                </c:ext>
              </c:extLst>
            </c:dLbl>
            <c:dLbl>
              <c:idx val="1"/>
              <c:layout>
                <c:manualLayout>
                  <c:x val="1.223783618857411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86-4309-9C8A-8BAA31D671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(Summary!$C$1487,Summary!$E$1487)</c:f>
              <c:numCache>
                <c:formatCode>0%</c:formatCode>
                <c:ptCount val="2"/>
                <c:pt idx="0">
                  <c:v>0.4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86-4309-9C8A-8BAA31D671B8}"/>
            </c:ext>
          </c:extLst>
        </c:ser>
        <c:ser>
          <c:idx val="1"/>
          <c:order val="1"/>
          <c:tx>
            <c:strRef>
              <c:f>Summary!$A$1488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86-4309-9C8A-8BAA31D671B8}"/>
                </c:ext>
              </c:extLst>
            </c:dLbl>
            <c:dLbl>
              <c:idx val="1"/>
              <c:layout>
                <c:manualLayout>
                  <c:x val="1.752185204062174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86-4309-9C8A-8BAA31D671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(Summary!$C$1488,Summary!$E$1488)</c:f>
              <c:numCache>
                <c:formatCode>0%</c:formatCode>
                <c:ptCount val="2"/>
                <c:pt idx="0">
                  <c:v>0.4</c:v>
                </c:pt>
                <c:pt idx="1">
                  <c:v>0.58333333333333337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86-4309-9C8A-8BAA31D671B8}"/>
            </c:ext>
          </c:extLst>
        </c:ser>
        <c:ser>
          <c:idx val="2"/>
          <c:order val="2"/>
          <c:tx>
            <c:strRef>
              <c:f>Summary!$A$1489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86-4309-9C8A-8BAA31D671B8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86-4309-9C8A-8BAA31D671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(Summary!$C$1489,Summary!$E$1489)</c:f>
              <c:numCache>
                <c:formatCode>0%</c:formatCode>
                <c:ptCount val="2"/>
                <c:pt idx="0">
                  <c:v>0.1</c:v>
                </c:pt>
                <c:pt idx="1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86-4309-9C8A-8BAA31D671B8}"/>
            </c:ext>
          </c:extLst>
        </c:ser>
        <c:ser>
          <c:idx val="3"/>
          <c:order val="3"/>
          <c:tx>
            <c:strRef>
              <c:f>Summary!$A$1490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86-4309-9C8A-8BAA31D671B8}"/>
                </c:ext>
              </c:extLst>
            </c:dLbl>
            <c:dLbl>
              <c:idx val="1"/>
              <c:layout>
                <c:manualLayout>
                  <c:x val="2.6420079260237782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86-4309-9C8A-8BAA31D671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(Summary!$C$1490,Summary!$E$1490)</c:f>
              <c:numCache>
                <c:formatCode>0%</c:formatCode>
                <c:ptCount val="2"/>
                <c:pt idx="0">
                  <c:v>0.1</c:v>
                </c:pt>
                <c:pt idx="1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86-4309-9C8A-8BAA31D671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0389328"/>
        <c:axId val="340389720"/>
        <c:axId val="0"/>
      </c:bar3DChart>
      <c:catAx>
        <c:axId val="3403893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0389720"/>
        <c:crosses val="autoZero"/>
        <c:auto val="1"/>
        <c:lblAlgn val="ctr"/>
        <c:lblOffset val="100"/>
        <c:noMultiLvlLbl val="0"/>
      </c:catAx>
      <c:valAx>
        <c:axId val="34038972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0389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11d. Staff explained what services were available to help me become employed?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4071888966323068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Summary!$A$1522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5-4D44-A253-655E6FA13C64}"/>
                </c:ext>
              </c:extLst>
            </c:dLbl>
            <c:dLbl>
              <c:idx val="1"/>
              <c:layout>
                <c:manualLayout>
                  <c:x val="1.223783618857411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5-4D44-A253-655E6FA13C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(Summary!$C$1522,Summary!$E$1522)</c:f>
              <c:numCache>
                <c:formatCode>0%</c:formatCode>
                <c:ptCount val="2"/>
                <c:pt idx="0">
                  <c:v>0.2</c:v>
                </c:pt>
                <c:pt idx="1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5-4D44-A253-655E6FA13C64}"/>
            </c:ext>
          </c:extLst>
        </c:ser>
        <c:ser>
          <c:idx val="1"/>
          <c:order val="1"/>
          <c:tx>
            <c:strRef>
              <c:f>Summary!$A$1523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C5-4D44-A253-655E6FA13C64}"/>
                </c:ext>
              </c:extLst>
            </c:dLbl>
            <c:dLbl>
              <c:idx val="1"/>
              <c:layout>
                <c:manualLayout>
                  <c:x val="1.223783618857418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C5-4D44-A253-655E6FA13C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(Summary!$C$1523,Summary!$E$1523)</c:f>
              <c:numCache>
                <c:formatCode>0%</c:formatCode>
                <c:ptCount val="2"/>
                <c:pt idx="0">
                  <c:v>0.6</c:v>
                </c:pt>
                <c:pt idx="1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C5-4D44-A253-655E6FA13C64}"/>
            </c:ext>
          </c:extLst>
        </c:ser>
        <c:ser>
          <c:idx val="2"/>
          <c:order val="2"/>
          <c:tx>
            <c:strRef>
              <c:f>Summary!$A$1524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C5-4D44-A253-655E6FA13C64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C5-4D44-A253-655E6FA13C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(Summary!$C$1524,Summary!$E$1524)</c:f>
              <c:numCache>
                <c:formatCode>0%</c:formatCode>
                <c:ptCount val="2"/>
                <c:pt idx="0">
                  <c:v>0.2</c:v>
                </c:pt>
                <c:pt idx="1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C5-4D44-A253-655E6FA13C64}"/>
            </c:ext>
          </c:extLst>
        </c:ser>
        <c:ser>
          <c:idx val="3"/>
          <c:order val="3"/>
          <c:tx>
            <c:strRef>
              <c:f>Summary!$A$1525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3.2820509286438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C5-4D44-A253-655E6FA13C64}"/>
                </c:ext>
              </c:extLst>
            </c:dLbl>
            <c:dLbl>
              <c:idx val="1"/>
              <c:layout>
                <c:manualLayout>
                  <c:x val="2.818141787758696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C5-4D44-A253-655E6FA13C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(Summary!$C$1525,Summary!$E$1525)</c:f>
              <c:numCache>
                <c:formatCode>0%</c:formatCode>
                <c:ptCount val="2"/>
                <c:pt idx="0">
                  <c:v>0</c:v>
                </c:pt>
                <c:pt idx="1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C5-4D44-A253-655E6FA13C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0390112"/>
        <c:axId val="340390504"/>
        <c:axId val="0"/>
      </c:bar3DChart>
      <c:catAx>
        <c:axId val="3403901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0390504"/>
        <c:crosses val="autoZero"/>
        <c:auto val="1"/>
        <c:lblAlgn val="ctr"/>
        <c:lblOffset val="100"/>
        <c:noMultiLvlLbl val="0"/>
      </c:catAx>
      <c:valAx>
        <c:axId val="34039050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03901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12. The process for determining my eligibility for VR services went smoothly? (every respondent should answer all the drop-down questions for this one)</a:t>
            </a:r>
          </a:p>
        </c:rich>
      </c:tx>
      <c:layout>
        <c:manualLayout>
          <c:xMode val="edge"/>
          <c:yMode val="edge"/>
          <c:x val="0.14071888966323068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Summary!$A$1557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BD-4930-89A4-2A04DAF41D5E}"/>
                </c:ext>
              </c:extLst>
            </c:dLbl>
            <c:dLbl>
              <c:idx val="1"/>
              <c:layout>
                <c:manualLayout>
                  <c:x val="1.0476497571224997E-2"/>
                  <c:y val="-2.461559732250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BD-4930-89A4-2A04DAF41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(Summary!$C$1557,Summary!$E$1557)</c:f>
              <c:numCache>
                <c:formatCode>0%</c:formatCode>
                <c:ptCount val="2"/>
                <c:pt idx="0">
                  <c:v>0.82096069868995636</c:v>
                </c:pt>
                <c:pt idx="1">
                  <c:v>0.65979381443298968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D-4930-89A4-2A04DAF41D5E}"/>
            </c:ext>
          </c:extLst>
        </c:ser>
        <c:ser>
          <c:idx val="1"/>
          <c:order val="1"/>
          <c:tx>
            <c:strRef>
              <c:f>Summary!$A$1558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BD-4930-89A4-2A04DAF41D5E}"/>
                </c:ext>
              </c:extLst>
            </c:dLbl>
            <c:dLbl>
              <c:idx val="1"/>
              <c:layout>
                <c:manualLayout>
                  <c:x val="1.223783618857418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BD-4930-89A4-2A04DAF41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(Summary!$C$1558,Summary!$E$1558)</c:f>
              <c:numCache>
                <c:formatCode>0%</c:formatCode>
                <c:ptCount val="2"/>
                <c:pt idx="0">
                  <c:v>6.9868995633187769E-2</c:v>
                </c:pt>
                <c:pt idx="1">
                  <c:v>0.19587628865979381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BD-4930-89A4-2A04DAF41D5E}"/>
            </c:ext>
          </c:extLst>
        </c:ser>
        <c:ser>
          <c:idx val="2"/>
          <c:order val="2"/>
          <c:tx>
            <c:strRef>
              <c:f>Summary!$A$1559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BD-4930-89A4-2A04DAF41D5E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BD-4930-89A4-2A04DAF41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(Summary!$C$1559,Summary!$E$1559)</c:f>
              <c:numCache>
                <c:formatCode>0%</c:formatCode>
                <c:ptCount val="2"/>
                <c:pt idx="0">
                  <c:v>8.7336244541484712E-3</c:v>
                </c:pt>
                <c:pt idx="1">
                  <c:v>3.0927835051546393E-2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BD-4930-89A4-2A04DAF41D5E}"/>
            </c:ext>
          </c:extLst>
        </c:ser>
        <c:ser>
          <c:idx val="3"/>
          <c:order val="3"/>
          <c:tx>
            <c:strRef>
              <c:f>Summary!$A$1560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1.641025464321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BD-4930-89A4-2A04DAF41D5E}"/>
                </c:ext>
              </c:extLst>
            </c:dLbl>
            <c:dLbl>
              <c:idx val="1"/>
              <c:layout>
                <c:manualLayout>
                  <c:x val="2.113606340819022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BD-4930-89A4-2A04DAF41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(Summary!$C$1560,Summary!$E$1560)</c:f>
              <c:numCache>
                <c:formatCode>0%</c:formatCode>
                <c:ptCount val="2"/>
                <c:pt idx="0">
                  <c:v>2.1834061135371178E-2</c:v>
                </c:pt>
                <c:pt idx="1">
                  <c:v>4.1237113402061855E-2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3BD-4930-89A4-2A04DAF41D5E}"/>
            </c:ext>
          </c:extLst>
        </c:ser>
        <c:ser>
          <c:idx val="4"/>
          <c:order val="4"/>
          <c:tx>
            <c:strRef>
              <c:f>Summary!$A$1561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852047556142668E-2"/>
                  <c:y val="-1.6410254643218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BD-4930-89A4-2A04DAF41D5E}"/>
                </c:ext>
              </c:extLst>
            </c:dLbl>
            <c:dLbl>
              <c:idx val="1"/>
              <c:layout>
                <c:manualLayout>
                  <c:x val="2.6420079260237782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BD-4930-89A4-2A04DAF41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(Summary!$C$1561,Summary!$E$1561)</c:f>
              <c:numCache>
                <c:formatCode>0%</c:formatCode>
                <c:ptCount val="2"/>
                <c:pt idx="0">
                  <c:v>7.8602620087336247E-2</c:v>
                </c:pt>
                <c:pt idx="1">
                  <c:v>7.2164948453608241E-2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BD-4930-89A4-2A04DAF41D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0391288"/>
        <c:axId val="340391680"/>
        <c:axId val="0"/>
      </c:bar3DChart>
      <c:catAx>
        <c:axId val="3403912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0391680"/>
        <c:crosses val="autoZero"/>
        <c:auto val="1"/>
        <c:lblAlgn val="ctr"/>
        <c:lblOffset val="100"/>
        <c:noMultiLvlLbl val="0"/>
      </c:catAx>
      <c:valAx>
        <c:axId val="34039168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0391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12a. Staff explained why I needed to be found eligible before receiving services?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4071888966323068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Summary!$A$1593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DA-49AE-9F8B-1D9BDDD8E94A}"/>
                </c:ext>
              </c:extLst>
            </c:dLbl>
            <c:dLbl>
              <c:idx val="1"/>
              <c:layout>
                <c:manualLayout>
                  <c:x val="1.223783618857411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DA-49AE-9F8B-1D9BDDD8E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(Summary!$C$1593,Summary!$E$1593)</c:f>
              <c:numCache>
                <c:formatCode>0%</c:formatCode>
                <c:ptCount val="2"/>
                <c:pt idx="0">
                  <c:v>0.81222707423580787</c:v>
                </c:pt>
                <c:pt idx="1">
                  <c:v>0.74226804123711343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A-49AE-9F8B-1D9BDDD8E94A}"/>
            </c:ext>
          </c:extLst>
        </c:ser>
        <c:ser>
          <c:idx val="1"/>
          <c:order val="1"/>
          <c:tx>
            <c:strRef>
              <c:f>Summary!$A$1594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DA-49AE-9F8B-1D9BDDD8E94A}"/>
                </c:ext>
              </c:extLst>
            </c:dLbl>
            <c:dLbl>
              <c:idx val="1"/>
              <c:layout>
                <c:manualLayout>
                  <c:x val="1.3999174805923368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DA-49AE-9F8B-1D9BDDD8E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(Summary!$C$1594,Summary!$E$1594)</c:f>
              <c:numCache>
                <c:formatCode>0%</c:formatCode>
                <c:ptCount val="2"/>
                <c:pt idx="0">
                  <c:v>3.4934497816593885E-2</c:v>
                </c:pt>
                <c:pt idx="1">
                  <c:v>6.1855670103092786E-2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DA-49AE-9F8B-1D9BDDD8E94A}"/>
            </c:ext>
          </c:extLst>
        </c:ser>
        <c:ser>
          <c:idx val="2"/>
          <c:order val="2"/>
          <c:tx>
            <c:strRef>
              <c:f>Summary!$A$1595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DA-49AE-9F8B-1D9BDDD8E94A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DA-49AE-9F8B-1D9BDDD8E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(Summary!$C$1595,Summary!$E$1595)</c:f>
              <c:numCache>
                <c:formatCode>0%</c:formatCode>
                <c:ptCount val="2"/>
                <c:pt idx="0">
                  <c:v>3.9301310043668124E-2</c:v>
                </c:pt>
                <c:pt idx="1">
                  <c:v>7.2164948453608241E-2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DA-49AE-9F8B-1D9BDDD8E94A}"/>
            </c:ext>
          </c:extLst>
        </c:ser>
        <c:ser>
          <c:idx val="3"/>
          <c:order val="3"/>
          <c:tx>
            <c:strRef>
              <c:f>Summary!$A$1596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897402025539412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DA-49AE-9F8B-1D9BDDD8E94A}"/>
                </c:ext>
              </c:extLst>
            </c:dLbl>
            <c:dLbl>
              <c:idx val="1"/>
              <c:layout>
                <c:manualLayout>
                  <c:x val="2.818141787758696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DA-49AE-9F8B-1D9BDDD8E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(Summary!$C$1596,Summary!$E$1596)</c:f>
              <c:numCache>
                <c:formatCode>0%</c:formatCode>
                <c:ptCount val="2"/>
                <c:pt idx="0">
                  <c:v>0.11353711790393013</c:v>
                </c:pt>
                <c:pt idx="1">
                  <c:v>0.12371134020618557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8DA-49AE-9F8B-1D9BDDD8E9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0392464"/>
        <c:axId val="340392856"/>
        <c:axId val="0"/>
      </c:bar3DChart>
      <c:catAx>
        <c:axId val="3403924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0392856"/>
        <c:crosses val="autoZero"/>
        <c:auto val="1"/>
        <c:lblAlgn val="ctr"/>
        <c:lblOffset val="100"/>
        <c:noMultiLvlLbl val="0"/>
      </c:catAx>
      <c:valAx>
        <c:axId val="3403928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0392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12b. Staff explained the steps they would use to determine whether I was eligible for services?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142988104029929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Summary!$A$1628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5A-44C6-9817-FB7ADC756ADB}"/>
                </c:ext>
              </c:extLst>
            </c:dLbl>
            <c:dLbl>
              <c:idx val="1"/>
              <c:layout>
                <c:manualLayout>
                  <c:x val="1.0476497571224933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A-44C6-9817-FB7ADC756A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(Summary!$C$1628,Summary!$E$1628)</c:f>
              <c:numCache>
                <c:formatCode>0%</c:formatCode>
                <c:ptCount val="2"/>
                <c:pt idx="0">
                  <c:v>0.81659388646288211</c:v>
                </c:pt>
                <c:pt idx="1">
                  <c:v>0.76288659793814428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A-44C6-9817-FB7ADC756ADB}"/>
            </c:ext>
          </c:extLst>
        </c:ser>
        <c:ser>
          <c:idx val="1"/>
          <c:order val="1"/>
          <c:tx>
            <c:strRef>
              <c:f>Summary!$A$1629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5A-44C6-9817-FB7ADC756ADB}"/>
                </c:ext>
              </c:extLst>
            </c:dLbl>
            <c:dLbl>
              <c:idx val="1"/>
              <c:layout>
                <c:manualLayout>
                  <c:x val="1.3999174805923368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A-44C6-9817-FB7ADC756A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(Summary!$C$1629,Summary!$E$1629)</c:f>
              <c:numCache>
                <c:formatCode>0%</c:formatCode>
                <c:ptCount val="2"/>
                <c:pt idx="0">
                  <c:v>3.0567685589519649E-2</c:v>
                </c:pt>
                <c:pt idx="1">
                  <c:v>6.1855670103092786E-2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5A-44C6-9817-FB7ADC756ADB}"/>
            </c:ext>
          </c:extLst>
        </c:ser>
        <c:ser>
          <c:idx val="2"/>
          <c:order val="2"/>
          <c:tx>
            <c:strRef>
              <c:f>Summary!$A$1630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A-44C6-9817-FB7ADC756ADB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5A-44C6-9817-FB7ADC756A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(Summary!$C$1630,Summary!$E$1630)</c:f>
              <c:numCache>
                <c:formatCode>0%</c:formatCode>
                <c:ptCount val="2"/>
                <c:pt idx="0">
                  <c:v>4.3668122270742356E-2</c:v>
                </c:pt>
                <c:pt idx="1">
                  <c:v>6.1855670103092786E-2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5A-44C6-9817-FB7ADC756ADB}"/>
            </c:ext>
          </c:extLst>
        </c:ser>
        <c:ser>
          <c:idx val="3"/>
          <c:order val="3"/>
          <c:tx>
            <c:strRef>
              <c:f>Summary!$A$1631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852047556142668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5A-44C6-9817-FB7ADC756ADB}"/>
                </c:ext>
              </c:extLst>
            </c:dLbl>
            <c:dLbl>
              <c:idx val="1"/>
              <c:layout>
                <c:manualLayout>
                  <c:x val="2.4658740642888595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5A-44C6-9817-FB7ADC756A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(Summary!$C$1631,Summary!$E$1631)</c:f>
              <c:numCache>
                <c:formatCode>0%</c:formatCode>
                <c:ptCount val="2"/>
                <c:pt idx="0">
                  <c:v>0.1091703056768559</c:v>
                </c:pt>
                <c:pt idx="1">
                  <c:v>0.1134020618556701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5A-44C6-9817-FB7ADC756A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106776"/>
        <c:axId val="341107168"/>
        <c:axId val="0"/>
      </c:bar3DChart>
      <c:catAx>
        <c:axId val="3411067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107168"/>
        <c:crosses val="autoZero"/>
        <c:auto val="1"/>
        <c:lblAlgn val="ctr"/>
        <c:lblOffset val="100"/>
        <c:noMultiLvlLbl val="0"/>
      </c:catAx>
      <c:valAx>
        <c:axId val="3411071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1067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12c. Staff involved me in determining my eligibility services?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4071888966323068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Summary!$A$1663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21-423F-9637-62E24E375C6E}"/>
                </c:ext>
              </c:extLst>
            </c:dLbl>
            <c:dLbl>
              <c:idx val="1"/>
              <c:layout>
                <c:manualLayout>
                  <c:x val="1.7521852040621674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21-423F-9637-62E24E375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(Summary!$C$1663,Summary!$E$1663)</c:f>
              <c:numCache>
                <c:formatCode>0%</c:formatCode>
                <c:ptCount val="2"/>
                <c:pt idx="0">
                  <c:v>0.80786026200873362</c:v>
                </c:pt>
                <c:pt idx="1">
                  <c:v>0.68041237113402064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21-423F-9637-62E24E375C6E}"/>
            </c:ext>
          </c:extLst>
        </c:ser>
        <c:ser>
          <c:idx val="1"/>
          <c:order val="1"/>
          <c:tx>
            <c:strRef>
              <c:f>Summary!$A$1664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21-423F-9637-62E24E375C6E}"/>
                </c:ext>
              </c:extLst>
            </c:dLbl>
            <c:dLbl>
              <c:idx val="1"/>
              <c:layout>
                <c:manualLayout>
                  <c:x val="1.752185204062174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21-423F-9637-62E24E375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(Summary!$C$1664,Summary!$E$1664)</c:f>
              <c:numCache>
                <c:formatCode>0%</c:formatCode>
                <c:ptCount val="2"/>
                <c:pt idx="0">
                  <c:v>3.4934497816593885E-2</c:v>
                </c:pt>
                <c:pt idx="1">
                  <c:v>9.2783505154639179E-2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21-423F-9637-62E24E375C6E}"/>
            </c:ext>
          </c:extLst>
        </c:ser>
        <c:ser>
          <c:idx val="2"/>
          <c:order val="2"/>
          <c:tx>
            <c:strRef>
              <c:f>Summary!$A$1665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21-423F-9637-62E24E375C6E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21-423F-9637-62E24E375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(Summary!$C$1665,Summary!$E$1665)</c:f>
              <c:numCache>
                <c:formatCode>0%</c:formatCode>
                <c:ptCount val="2"/>
                <c:pt idx="0">
                  <c:v>4.8034934497816595E-2</c:v>
                </c:pt>
                <c:pt idx="1">
                  <c:v>0.1134020618556701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21-423F-9637-62E24E375C6E}"/>
            </c:ext>
          </c:extLst>
        </c:ser>
        <c:ser>
          <c:idx val="3"/>
          <c:order val="3"/>
          <c:tx>
            <c:strRef>
              <c:f>Summary!$A$1666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21-423F-9637-62E24E375C6E}"/>
                </c:ext>
              </c:extLst>
            </c:dLbl>
            <c:dLbl>
              <c:idx val="1"/>
              <c:layout>
                <c:manualLayout>
                  <c:x val="2.6420079260237782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21-423F-9637-62E24E375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(Summary!$C$1666,Summary!$E$1666)</c:f>
              <c:numCache>
                <c:formatCode>0%</c:formatCode>
                <c:ptCount val="2"/>
                <c:pt idx="0">
                  <c:v>0.1091703056768559</c:v>
                </c:pt>
                <c:pt idx="1">
                  <c:v>0.1134020618556701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21-423F-9637-62E24E375C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107952"/>
        <c:axId val="341108344"/>
        <c:axId val="0"/>
      </c:bar3DChart>
      <c:catAx>
        <c:axId val="34110795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108344"/>
        <c:crosses val="autoZero"/>
        <c:auto val="1"/>
        <c:lblAlgn val="ctr"/>
        <c:lblOffset val="100"/>
        <c:noMultiLvlLbl val="0"/>
      </c:catAx>
      <c:valAx>
        <c:axId val="34110834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107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12d. Staff notified me when I was eligible to begin services?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1958282625504046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Summary!$A$1698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DF-4463-BFF4-D423153F03D3}"/>
                </c:ext>
              </c:extLst>
            </c:dLbl>
            <c:dLbl>
              <c:idx val="1"/>
              <c:layout>
                <c:manualLayout>
                  <c:x val="1.3999174805923432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F-4463-BFF4-D423153F03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(Summary!$C$1698,Summary!$E$1698)</c:f>
              <c:numCache>
                <c:formatCode>0%</c:formatCode>
                <c:ptCount val="2"/>
                <c:pt idx="0">
                  <c:v>0.84279475982532748</c:v>
                </c:pt>
                <c:pt idx="1">
                  <c:v>0.74226804123711343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F-4463-BFF4-D423153F03D3}"/>
            </c:ext>
          </c:extLst>
        </c:ser>
        <c:ser>
          <c:idx val="1"/>
          <c:order val="1"/>
          <c:tx>
            <c:strRef>
              <c:f>Summary!$A$1699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F-4463-BFF4-D423153F03D3}"/>
                </c:ext>
              </c:extLst>
            </c:dLbl>
            <c:dLbl>
              <c:idx val="1"/>
              <c:layout>
                <c:manualLayout>
                  <c:x val="1.5760513423272553E-2"/>
                  <c:y val="-3.2820724644110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DF-4463-BFF4-D423153F03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(Summary!$C$1699,Summary!$E$1699)</c:f>
              <c:numCache>
                <c:formatCode>0%</c:formatCode>
                <c:ptCount val="2"/>
                <c:pt idx="0">
                  <c:v>1.3100436681222707E-2</c:v>
                </c:pt>
                <c:pt idx="1">
                  <c:v>7.2164948453608241E-2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DF-4463-BFF4-D423153F03D3}"/>
            </c:ext>
          </c:extLst>
        </c:ser>
        <c:ser>
          <c:idx val="2"/>
          <c:order val="2"/>
          <c:tx>
            <c:strRef>
              <c:f>Summary!$A$1700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DF-4463-BFF4-D423153F03D3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F-4463-BFF4-D423153F03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(Summary!$C$1700,Summary!$E$1700)</c:f>
              <c:numCache>
                <c:formatCode>0%</c:formatCode>
                <c:ptCount val="2"/>
                <c:pt idx="0">
                  <c:v>3.4934497816593885E-2</c:v>
                </c:pt>
                <c:pt idx="1">
                  <c:v>7.2164948453608241E-2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DF-4463-BFF4-D423153F03D3}"/>
            </c:ext>
          </c:extLst>
        </c:ser>
        <c:ser>
          <c:idx val="3"/>
          <c:order val="3"/>
          <c:tx>
            <c:strRef>
              <c:f>Summary!$A$1701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852047556142668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DF-4463-BFF4-D423153F03D3}"/>
                </c:ext>
              </c:extLst>
            </c:dLbl>
            <c:dLbl>
              <c:idx val="1"/>
              <c:layout>
                <c:manualLayout>
                  <c:x val="2.2897402025539412E-2"/>
                  <c:y val="-2.461538196482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DF-4463-BFF4-D423153F03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(Summary!$C$1701,Summary!$E$1701)</c:f>
              <c:numCache>
                <c:formatCode>0%</c:formatCode>
                <c:ptCount val="2"/>
                <c:pt idx="0">
                  <c:v>0.1091703056768559</c:v>
                </c:pt>
                <c:pt idx="1">
                  <c:v>0.1134020618556701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DF-4463-BFF4-D423153F03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109128"/>
        <c:axId val="341109520"/>
        <c:axId val="0"/>
      </c:bar3DChart>
      <c:catAx>
        <c:axId val="3411091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109520"/>
        <c:crosses val="autoZero"/>
        <c:auto val="1"/>
        <c:lblAlgn val="ctr"/>
        <c:lblOffset val="100"/>
        <c:noMultiLvlLbl val="0"/>
      </c:catAx>
      <c:valAx>
        <c:axId val="34110952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1091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13. My Plan for Employment was carried out to my satisfaction?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142988104029929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Summary!$A$1733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29-4252-BC79-12A097030E9C}"/>
                </c:ext>
              </c:extLst>
            </c:dLbl>
            <c:dLbl>
              <c:idx val="1"/>
              <c:layout>
                <c:manualLayout>
                  <c:x val="1.2237836188574183E-2"/>
                  <c:y val="-2.461559732250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29-4252-BC79-12A097030E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(Summary!$C$1733,Summary!$E$1733)</c:f>
              <c:numCache>
                <c:formatCode>0%</c:formatCode>
                <c:ptCount val="2"/>
                <c:pt idx="0">
                  <c:v>0.69432314410480345</c:v>
                </c:pt>
                <c:pt idx="1">
                  <c:v>0.38144329896907214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29-4252-BC79-12A097030E9C}"/>
            </c:ext>
          </c:extLst>
        </c:ser>
        <c:ser>
          <c:idx val="1"/>
          <c:order val="1"/>
          <c:tx>
            <c:strRef>
              <c:f>Summary!$A$1734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29-4252-BC79-12A097030E9C}"/>
                </c:ext>
              </c:extLst>
            </c:dLbl>
            <c:dLbl>
              <c:idx val="1"/>
              <c:layout>
                <c:manualLayout>
                  <c:x val="6.9538203365266263E-3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29-4252-BC79-12A097030E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(Summary!$C$1734,Summary!$E$1734)</c:f>
              <c:numCache>
                <c:formatCode>0%</c:formatCode>
                <c:ptCount val="2"/>
                <c:pt idx="0">
                  <c:v>0.14847161572052403</c:v>
                </c:pt>
                <c:pt idx="1">
                  <c:v>0.22680412371134021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29-4252-BC79-12A097030E9C}"/>
            </c:ext>
          </c:extLst>
        </c:ser>
        <c:ser>
          <c:idx val="2"/>
          <c:order val="2"/>
          <c:tx>
            <c:strRef>
              <c:f>Summary!$A$1735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29-4252-BC79-12A097030E9C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29-4252-BC79-12A097030E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(Summary!$C$1735,Summary!$E$1735)</c:f>
              <c:numCache>
                <c:formatCode>0%</c:formatCode>
                <c:ptCount val="2"/>
                <c:pt idx="0">
                  <c:v>3.4934497816593885E-2</c:v>
                </c:pt>
                <c:pt idx="1">
                  <c:v>8.247422680412371E-2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29-4252-BC79-12A097030E9C}"/>
            </c:ext>
          </c:extLst>
        </c:ser>
        <c:ser>
          <c:idx val="3"/>
          <c:order val="3"/>
          <c:tx>
            <c:strRef>
              <c:f>Summary!$A$1736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1.641025464321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29-4252-BC79-12A097030E9C}"/>
                </c:ext>
              </c:extLst>
            </c:dLbl>
            <c:dLbl>
              <c:idx val="1"/>
              <c:layout>
                <c:manualLayout>
                  <c:x val="1.937472479084103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29-4252-BC79-12A097030E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(Summary!$C$1736,Summary!$E$1736)</c:f>
              <c:numCache>
                <c:formatCode>0%</c:formatCode>
                <c:ptCount val="2"/>
                <c:pt idx="0">
                  <c:v>3.0567685589519649E-2</c:v>
                </c:pt>
                <c:pt idx="1">
                  <c:v>0.20618556701030927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29-4252-BC79-12A097030E9C}"/>
            </c:ext>
          </c:extLst>
        </c:ser>
        <c:ser>
          <c:idx val="4"/>
          <c:order val="4"/>
          <c:tx>
            <c:strRef>
              <c:f>Summary!$A$1737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090708938793483E-2"/>
                  <c:y val="-1.6410254643218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29-4252-BC79-12A097030E9C}"/>
                </c:ext>
              </c:extLst>
            </c:dLbl>
            <c:dLbl>
              <c:idx val="1"/>
              <c:layout>
                <c:manualLayout>
                  <c:x val="2.465874064288859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29-4252-BC79-12A097030E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(Summary!$C$1737,Summary!$E$1737)</c:f>
              <c:numCache>
                <c:formatCode>0%</c:formatCode>
                <c:ptCount val="2"/>
                <c:pt idx="0">
                  <c:v>9.1703056768558958E-2</c:v>
                </c:pt>
                <c:pt idx="1">
                  <c:v>0.10309278350515463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29-4252-BC79-12A097030E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110304"/>
        <c:axId val="341110696"/>
        <c:axId val="0"/>
      </c:bar3DChart>
      <c:catAx>
        <c:axId val="3411103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110696"/>
        <c:crosses val="autoZero"/>
        <c:auto val="1"/>
        <c:lblAlgn val="ctr"/>
        <c:lblOffset val="100"/>
        <c:noMultiLvlLbl val="0"/>
      </c:catAx>
      <c:valAx>
        <c:axId val="34111069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1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13a. All services that I needed to be successfully employed were provided?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0196944008154861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Summary!$A$1769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58-4872-A03A-A1E82A4DEC1C}"/>
                </c:ext>
              </c:extLst>
            </c:dLbl>
            <c:dLbl>
              <c:idx val="1"/>
              <c:layout>
                <c:manualLayout>
                  <c:x val="1.3999174805923303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58-4872-A03A-A1E82A4DE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(Summary!$C$1769,Summary!$E$1769)</c:f>
              <c:numCache>
                <c:formatCode>0%</c:formatCode>
                <c:ptCount val="2"/>
                <c:pt idx="0">
                  <c:v>0</c:v>
                </c:pt>
                <c:pt idx="1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8-4872-A03A-A1E82A4DEC1C}"/>
            </c:ext>
          </c:extLst>
        </c:ser>
        <c:ser>
          <c:idx val="1"/>
          <c:order val="1"/>
          <c:tx>
            <c:strRef>
              <c:f>Summary!$A$1770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58-4872-A03A-A1E82A4DEC1C}"/>
                </c:ext>
              </c:extLst>
            </c:dLbl>
            <c:dLbl>
              <c:idx val="1"/>
              <c:layout>
                <c:manualLayout>
                  <c:x val="1.3999174805923368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58-4872-A03A-A1E82A4DE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(Summary!$C$1770,Summary!$E$1770)</c:f>
              <c:numCache>
                <c:formatCode>0%</c:formatCode>
                <c:ptCount val="2"/>
                <c:pt idx="0">
                  <c:v>0.8666666666666667</c:v>
                </c:pt>
                <c:pt idx="1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58-4872-A03A-A1E82A4DEC1C}"/>
            </c:ext>
          </c:extLst>
        </c:ser>
        <c:ser>
          <c:idx val="2"/>
          <c:order val="2"/>
          <c:tx>
            <c:strRef>
              <c:f>Summary!$A$1771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58-4872-A03A-A1E82A4DEC1C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58-4872-A03A-A1E82A4DE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(Summary!$C$1771,Summary!$E$1771)</c:f>
              <c:numCache>
                <c:formatCode>0%</c:formatCode>
                <c:ptCount val="2"/>
                <c:pt idx="0">
                  <c:v>0</c:v>
                </c:pt>
                <c:pt idx="1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58-4872-A03A-A1E82A4DEC1C}"/>
            </c:ext>
          </c:extLst>
        </c:ser>
        <c:ser>
          <c:idx val="3"/>
          <c:order val="3"/>
          <c:tx>
            <c:strRef>
              <c:f>Summary!$A$1772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090708938793483E-2"/>
                  <c:y val="-3.0085466845901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58-4872-A03A-A1E82A4DEC1C}"/>
                </c:ext>
              </c:extLst>
            </c:dLbl>
            <c:dLbl>
              <c:idx val="1"/>
              <c:layout>
                <c:manualLayout>
                  <c:x val="2.4658740642888595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58-4872-A03A-A1E82A4DE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(Summary!$C$1772,Summary!$E$1772)</c:f>
              <c:numCache>
                <c:formatCode>0%</c:formatCode>
                <c:ptCount val="2"/>
                <c:pt idx="0">
                  <c:v>0</c:v>
                </c:pt>
                <c:pt idx="1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58-4872-A03A-A1E82A4DEC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111480"/>
        <c:axId val="341111872"/>
        <c:axId val="0"/>
      </c:bar3DChart>
      <c:catAx>
        <c:axId val="3411114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111872"/>
        <c:crosses val="autoZero"/>
        <c:auto val="1"/>
        <c:lblAlgn val="ctr"/>
        <c:lblOffset val="100"/>
        <c:noMultiLvlLbl val="0"/>
      </c:catAx>
      <c:valAx>
        <c:axId val="34111187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1114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13b. Everyone involved in my plan worked well together to address issues?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1606014902034209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Summary!$A$1804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91-4CBE-AA6A-82C91B32AB5A}"/>
                </c:ext>
              </c:extLst>
            </c:dLbl>
            <c:dLbl>
              <c:idx val="1"/>
              <c:layout>
                <c:manualLayout>
                  <c:x val="1.7521852040621674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91-4CBE-AA6A-82C91B32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(Summary!$C$1804,Summary!$E$1804)</c:f>
              <c:numCache>
                <c:formatCode>0%</c:formatCode>
                <c:ptCount val="2"/>
                <c:pt idx="0">
                  <c:v>0.2</c:v>
                </c:pt>
                <c:pt idx="1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91-4CBE-AA6A-82C91B32AB5A}"/>
            </c:ext>
          </c:extLst>
        </c:ser>
        <c:ser>
          <c:idx val="1"/>
          <c:order val="1"/>
          <c:tx>
            <c:strRef>
              <c:f>Summary!$A$1805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91-4CBE-AA6A-82C91B32AB5A}"/>
                </c:ext>
              </c:extLst>
            </c:dLbl>
            <c:dLbl>
              <c:idx val="1"/>
              <c:layout>
                <c:manualLayout>
                  <c:x val="1.3999174805923368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91-4CBE-AA6A-82C91B32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(Summary!$C$1805,Summary!$E$1805)</c:f>
              <c:numCache>
                <c:formatCode>0%</c:formatCode>
                <c:ptCount val="2"/>
                <c:pt idx="0">
                  <c:v>0.73333333333333328</c:v>
                </c:pt>
                <c:pt idx="1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91-4CBE-AA6A-82C91B32AB5A}"/>
            </c:ext>
          </c:extLst>
        </c:ser>
        <c:ser>
          <c:idx val="2"/>
          <c:order val="2"/>
          <c:tx>
            <c:strRef>
              <c:f>Summary!$A$1806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91-4CBE-AA6A-82C91B32AB5A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91-4CBE-AA6A-82C91B32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(Summary!$C$1806,Summary!$E$1806)</c:f>
              <c:numCache>
                <c:formatCode>0%</c:formatCode>
                <c:ptCount val="2"/>
                <c:pt idx="0">
                  <c:v>6.6666666666666666E-2</c:v>
                </c:pt>
                <c:pt idx="1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91-4CBE-AA6A-82C91B32AB5A}"/>
            </c:ext>
          </c:extLst>
        </c:ser>
        <c:ser>
          <c:idx val="3"/>
          <c:order val="3"/>
          <c:tx>
            <c:strRef>
              <c:f>Summary!$A$1807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2.1880339524292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91-4CBE-AA6A-82C91B32AB5A}"/>
                </c:ext>
              </c:extLst>
            </c:dLbl>
            <c:dLbl>
              <c:idx val="1"/>
              <c:layout>
                <c:manualLayout>
                  <c:x val="2.113606340819022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91-4CBE-AA6A-82C91B32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(Summary!$C$1807,Summary!$E$1807)</c:f>
              <c:numCache>
                <c:formatCode>0%</c:formatCode>
                <c:ptCount val="2"/>
                <c:pt idx="0">
                  <c:v>0</c:v>
                </c:pt>
                <c:pt idx="1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91-4CBE-AA6A-82C91B32AB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112656"/>
        <c:axId val="341113048"/>
        <c:axId val="0"/>
      </c:bar3DChart>
      <c:catAx>
        <c:axId val="3411126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113048"/>
        <c:crosses val="autoZero"/>
        <c:auto val="1"/>
        <c:lblAlgn val="ctr"/>
        <c:lblOffset val="100"/>
        <c:noMultiLvlLbl val="0"/>
      </c:catAx>
      <c:valAx>
        <c:axId val="34111304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1126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2c. My counselor was open to me expressing my complaints?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6009361445407172"/>
          <c:y val="2.188033952429212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Summary!$A$220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D-4481-B68C-FDF4DB1D454D}"/>
                </c:ext>
              </c:extLst>
            </c:dLbl>
            <c:dLbl>
              <c:idx val="1"/>
              <c:layout>
                <c:manualLayout>
                  <c:x val="3.4311431018281911E-3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8D-4481-B68C-FDF4DB1D4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(Summary!$C$220,Summary!$E$220)</c:f>
              <c:numCache>
                <c:formatCode>0%</c:formatCode>
                <c:ptCount val="2"/>
                <c:pt idx="0">
                  <c:v>0.1111111111111111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8D-4481-B68C-FDF4DB1D454D}"/>
            </c:ext>
          </c:extLst>
        </c:ser>
        <c:ser>
          <c:idx val="1"/>
          <c:order val="1"/>
          <c:tx>
            <c:strRef>
              <c:f>Summary!$A$221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8D-4481-B68C-FDF4DB1D454D}"/>
                </c:ext>
              </c:extLst>
            </c:dLbl>
            <c:dLbl>
              <c:idx val="1"/>
              <c:layout>
                <c:manualLayout>
                  <c:x val="8.7151589538758123E-3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8D-4481-B68C-FDF4DB1D4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(Summary!$C$221,Summary!$E$221)</c:f>
              <c:numCache>
                <c:formatCode>0%</c:formatCode>
                <c:ptCount val="2"/>
                <c:pt idx="0">
                  <c:v>0.44444444444444442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8D-4481-B68C-FDF4DB1D454D}"/>
            </c:ext>
          </c:extLst>
        </c:ser>
        <c:ser>
          <c:idx val="2"/>
          <c:order val="2"/>
          <c:tx>
            <c:strRef>
              <c:f>Summary!$A$222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8D-4481-B68C-FDF4DB1D454D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8D-4481-B68C-FDF4DB1D4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(Summary!$C$222,Summary!$E$222)</c:f>
              <c:numCache>
                <c:formatCode>0%</c:formatCode>
                <c:ptCount val="2"/>
                <c:pt idx="0">
                  <c:v>0.33333333333333331</c:v>
                </c:pt>
                <c:pt idx="1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8D-4481-B68C-FDF4DB1D454D}"/>
            </c:ext>
          </c:extLst>
        </c:ser>
        <c:ser>
          <c:idx val="3"/>
          <c:order val="3"/>
          <c:tx>
            <c:strRef>
              <c:f>Summary!$A$223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3.2820509286438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8D-4481-B68C-FDF4DB1D454D}"/>
                </c:ext>
              </c:extLst>
            </c:dLbl>
            <c:dLbl>
              <c:idx val="1"/>
              <c:layout>
                <c:manualLayout>
                  <c:x val="2.9942756494936152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8D-4481-B68C-FDF4DB1D4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(Summary!$C$223,Summary!$E$223)</c:f>
              <c:numCache>
                <c:formatCode>0%</c:formatCode>
                <c:ptCount val="2"/>
                <c:pt idx="0">
                  <c:v>0.1111111111111111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8D-4481-B68C-FDF4DB1D4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711968"/>
        <c:axId val="425042304"/>
        <c:axId val="0"/>
      </c:bar3DChart>
      <c:catAx>
        <c:axId val="4277119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5042304"/>
        <c:crosses val="autoZero"/>
        <c:auto val="1"/>
        <c:lblAlgn val="ctr"/>
        <c:lblOffset val="100"/>
        <c:noMultiLvlLbl val="0"/>
      </c:catAx>
      <c:valAx>
        <c:axId val="42504230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7119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13c. Changes to my plan were considered and made when appropriate?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1782148763769128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Summary!$A$1839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F8-4887-9129-4C0C042B945E}"/>
                </c:ext>
              </c:extLst>
            </c:dLbl>
            <c:dLbl>
              <c:idx val="1"/>
              <c:layout>
                <c:manualLayout>
                  <c:x val="1.576051342327249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F8-4887-9129-4C0C042B9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(Summary!$C$1839,Summary!$E$1839)</c:f>
              <c:numCache>
                <c:formatCode>0%</c:formatCode>
                <c:ptCount val="2"/>
                <c:pt idx="0">
                  <c:v>0.33333333333333331</c:v>
                </c:pt>
                <c:pt idx="1">
                  <c:v>0.21428571428571427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F8-4887-9129-4C0C042B945E}"/>
            </c:ext>
          </c:extLst>
        </c:ser>
        <c:ser>
          <c:idx val="1"/>
          <c:order val="1"/>
          <c:tx>
            <c:strRef>
              <c:f>Summary!$A$1840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F8-4887-9129-4C0C042B945E}"/>
                </c:ext>
              </c:extLst>
            </c:dLbl>
            <c:dLbl>
              <c:idx val="1"/>
              <c:layout>
                <c:manualLayout>
                  <c:x val="1.576051342327255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F8-4887-9129-4C0C042B9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(Summary!$C$1840,Summary!$E$1840)</c:f>
              <c:numCache>
                <c:formatCode>0%</c:formatCode>
                <c:ptCount val="2"/>
                <c:pt idx="0">
                  <c:v>0.53333333333333333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F8-4887-9129-4C0C042B945E}"/>
            </c:ext>
          </c:extLst>
        </c:ser>
        <c:ser>
          <c:idx val="2"/>
          <c:order val="2"/>
          <c:tx>
            <c:strRef>
              <c:f>Summary!$A$1841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F8-4887-9129-4C0C042B945E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F8-4887-9129-4C0C042B9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(Summary!$C$1841,Summary!$E$1841)</c:f>
              <c:numCache>
                <c:formatCode>0%</c:formatCode>
                <c:ptCount val="2"/>
                <c:pt idx="0">
                  <c:v>0.13333333333333333</c:v>
                </c:pt>
                <c:pt idx="1">
                  <c:v>0.17857142857142858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F8-4887-9129-4C0C042B945E}"/>
            </c:ext>
          </c:extLst>
        </c:ser>
        <c:ser>
          <c:idx val="3"/>
          <c:order val="3"/>
          <c:tx>
            <c:strRef>
              <c:f>Summary!$A$1842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F8-4887-9129-4C0C042B945E}"/>
                </c:ext>
              </c:extLst>
            </c:dLbl>
            <c:dLbl>
              <c:idx val="1"/>
              <c:layout>
                <c:manualLayout>
                  <c:x val="2.4658740642888595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F8-4887-9129-4C0C042B9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(Summary!$C$1842,Summary!$E$1842)</c:f>
              <c:numCache>
                <c:formatCode>0%</c:formatCode>
                <c:ptCount val="2"/>
                <c:pt idx="0">
                  <c:v>0</c:v>
                </c:pt>
                <c:pt idx="1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F8-4887-9129-4C0C042B94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113832"/>
        <c:axId val="341114224"/>
        <c:axId val="0"/>
      </c:bar3DChart>
      <c:catAx>
        <c:axId val="3411138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114224"/>
        <c:crosses val="autoZero"/>
        <c:auto val="1"/>
        <c:lblAlgn val="ctr"/>
        <c:lblOffset val="100"/>
        <c:noMultiLvlLbl val="0"/>
      </c:catAx>
      <c:valAx>
        <c:axId val="34111422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1138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13d.  Services that were purchased on my behalf were what I expected?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1958282625504046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Summary!$A$1874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62-42E8-B0B7-D26280E57F28}"/>
                </c:ext>
              </c:extLst>
            </c:dLbl>
            <c:dLbl>
              <c:idx val="1"/>
              <c:layout>
                <c:manualLayout>
                  <c:x val="1.223783618857411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62-42E8-B0B7-D26280E57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(Summary!$C$1874,Summary!$E$1874)</c:f>
              <c:numCache>
                <c:formatCode>0%</c:formatCode>
                <c:ptCount val="2"/>
                <c:pt idx="0">
                  <c:v>0.4</c:v>
                </c:pt>
                <c:pt idx="1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2-42E8-B0B7-D26280E57F28}"/>
            </c:ext>
          </c:extLst>
        </c:ser>
        <c:ser>
          <c:idx val="1"/>
          <c:order val="1"/>
          <c:tx>
            <c:strRef>
              <c:f>Summary!$A$1875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62-42E8-B0B7-D26280E57F28}"/>
                </c:ext>
              </c:extLst>
            </c:dLbl>
            <c:dLbl>
              <c:idx val="1"/>
              <c:layout>
                <c:manualLayout>
                  <c:x val="1.752185204062174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62-42E8-B0B7-D26280E57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(Summary!$C$1875,Summary!$E$1875)</c:f>
              <c:numCache>
                <c:formatCode>0%</c:formatCode>
                <c:ptCount val="2"/>
                <c:pt idx="0">
                  <c:v>0.4</c:v>
                </c:pt>
                <c:pt idx="1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62-42E8-B0B7-D26280E57F28}"/>
            </c:ext>
          </c:extLst>
        </c:ser>
        <c:ser>
          <c:idx val="2"/>
          <c:order val="2"/>
          <c:tx>
            <c:strRef>
              <c:f>Summary!$A$1876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62-42E8-B0B7-D26280E57F28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62-42E8-B0B7-D26280E57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(Summary!$C$1876,Summary!$E$1876)</c:f>
              <c:numCache>
                <c:formatCode>0%</c:formatCode>
                <c:ptCount val="2"/>
                <c:pt idx="0">
                  <c:v>0.2</c:v>
                </c:pt>
                <c:pt idx="1">
                  <c:v>0.39285714285714285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62-42E8-B0B7-D26280E57F28}"/>
            </c:ext>
          </c:extLst>
        </c:ser>
        <c:ser>
          <c:idx val="3"/>
          <c:order val="3"/>
          <c:tx>
            <c:strRef>
              <c:f>Summary!$A$1877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897402025539412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62-42E8-B0B7-D26280E57F28}"/>
                </c:ext>
              </c:extLst>
            </c:dLbl>
            <c:dLbl>
              <c:idx val="1"/>
              <c:layout>
                <c:manualLayout>
                  <c:x val="2.2897402025539412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62-42E8-B0B7-D26280E57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(Summary!$C$1877,Summary!$E$1877)</c:f>
              <c:numCache>
                <c:formatCode>0%</c:formatCode>
                <c:ptCount val="2"/>
                <c:pt idx="0">
                  <c:v>0</c:v>
                </c:pt>
                <c:pt idx="1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62-42E8-B0B7-D26280E57F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674480"/>
        <c:axId val="341674872"/>
        <c:axId val="0"/>
      </c:bar3DChart>
      <c:catAx>
        <c:axId val="3416744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674872"/>
        <c:crosses val="autoZero"/>
        <c:auto val="1"/>
        <c:lblAlgn val="ctr"/>
        <c:lblOffset val="100"/>
        <c:noMultiLvlLbl val="0"/>
      </c:catAx>
      <c:valAx>
        <c:axId val="34167487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6744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14. VR Staff adequately accommodated my disability?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0020810146419942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Summary!$A$1909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E0-4252-991F-D628E8501B08}"/>
                </c:ext>
              </c:extLst>
            </c:dLbl>
            <c:dLbl>
              <c:idx val="1"/>
              <c:layout>
                <c:manualLayout>
                  <c:x val="1.5760513423272553E-2"/>
                  <c:y val="-2.461559732250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E0-4252-991F-D628E8501B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(Summary!$C$1909,Summary!$E$1909)</c:f>
              <c:numCache>
                <c:formatCode>0%</c:formatCode>
                <c:ptCount val="2"/>
                <c:pt idx="0">
                  <c:v>0.75982532751091703</c:v>
                </c:pt>
                <c:pt idx="1">
                  <c:v>0.60824742268041232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E0-4252-991F-D628E8501B08}"/>
            </c:ext>
          </c:extLst>
        </c:ser>
        <c:ser>
          <c:idx val="1"/>
          <c:order val="1"/>
          <c:tx>
            <c:strRef>
              <c:f>Summary!$A$1910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E0-4252-991F-D628E8501B08}"/>
                </c:ext>
              </c:extLst>
            </c:dLbl>
            <c:dLbl>
              <c:idx val="1"/>
              <c:layout>
                <c:manualLayout>
                  <c:x val="1.752185204062174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E0-4252-991F-D628E8501B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(Summary!$C$1910,Summary!$E$1910)</c:f>
              <c:numCache>
                <c:formatCode>0%</c:formatCode>
                <c:ptCount val="2"/>
                <c:pt idx="0">
                  <c:v>0.11353711790393013</c:v>
                </c:pt>
                <c:pt idx="1">
                  <c:v>0.16494845360824742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E0-4252-991F-D628E8501B08}"/>
            </c:ext>
          </c:extLst>
        </c:ser>
        <c:ser>
          <c:idx val="2"/>
          <c:order val="2"/>
          <c:tx>
            <c:strRef>
              <c:f>Summary!$A$1911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E0-4252-991F-D628E8501B08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E0-4252-991F-D628E8501B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(Summary!$C$1911,Summary!$E$1911)</c:f>
              <c:numCache>
                <c:formatCode>0%</c:formatCode>
                <c:ptCount val="2"/>
                <c:pt idx="0">
                  <c:v>3.0567685589519649E-2</c:v>
                </c:pt>
                <c:pt idx="1">
                  <c:v>3.0927835051546393E-2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E0-4252-991F-D628E8501B08}"/>
            </c:ext>
          </c:extLst>
        </c:ser>
        <c:ser>
          <c:idx val="3"/>
          <c:order val="3"/>
          <c:tx>
            <c:strRef>
              <c:f>Summary!$A$1912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852047556142668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E0-4252-991F-D628E8501B08}"/>
                </c:ext>
              </c:extLst>
            </c:dLbl>
            <c:dLbl>
              <c:idx val="1"/>
              <c:layout>
                <c:manualLayout>
                  <c:x val="1.5852047556142668E-2"/>
                  <c:y val="-1.91452970837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E0-4252-991F-D628E8501B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(Summary!$C$1912,Summary!$E$1912)</c:f>
              <c:numCache>
                <c:formatCode>0%</c:formatCode>
                <c:ptCount val="2"/>
                <c:pt idx="0">
                  <c:v>1.3100436681222707E-2</c:v>
                </c:pt>
                <c:pt idx="1">
                  <c:v>0.1134020618556701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E0-4252-991F-D628E8501B08}"/>
            </c:ext>
          </c:extLst>
        </c:ser>
        <c:ser>
          <c:idx val="4"/>
          <c:order val="4"/>
          <c:tx>
            <c:strRef>
              <c:f>Summary!$A$1913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E0-4252-991F-D628E8501B08}"/>
                </c:ext>
              </c:extLst>
            </c:dLbl>
            <c:dLbl>
              <c:idx val="1"/>
              <c:layout>
                <c:manualLayout>
                  <c:x val="1.7613386173491855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E0-4252-991F-D628E8501B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(Summary!$C$1913,Summary!$E$1913)</c:f>
              <c:numCache>
                <c:formatCode>0%</c:formatCode>
                <c:ptCount val="2"/>
                <c:pt idx="0">
                  <c:v>8.296943231441048E-2</c:v>
                </c:pt>
                <c:pt idx="1">
                  <c:v>8.247422680412371E-2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E0-4252-991F-D628E8501B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675656"/>
        <c:axId val="341676048"/>
        <c:axId val="0"/>
      </c:bar3DChart>
      <c:catAx>
        <c:axId val="3416756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676048"/>
        <c:crosses val="autoZero"/>
        <c:auto val="1"/>
        <c:lblAlgn val="ctr"/>
        <c:lblOffset val="100"/>
        <c:noMultiLvlLbl val="0"/>
      </c:catAx>
      <c:valAx>
        <c:axId val="34167604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6756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14a. Staff scheduled appointments in accessible locations?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2310550348973884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Summary!$A$1945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04-4F07-89B7-69B1E8F71B65}"/>
                </c:ext>
              </c:extLst>
            </c:dLbl>
            <c:dLbl>
              <c:idx val="1"/>
              <c:layout>
                <c:manualLayout>
                  <c:x val="1.2237836188574247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04-4F07-89B7-69B1E8F71B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(Summary!$C$1945,Summary!$E$1945)</c:f>
              <c:numCache>
                <c:formatCode>0%</c:formatCode>
                <c:ptCount val="2"/>
                <c:pt idx="0">
                  <c:v>0.5</c:v>
                </c:pt>
                <c:pt idx="1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04-4F07-89B7-69B1E8F71B65}"/>
            </c:ext>
          </c:extLst>
        </c:ser>
        <c:ser>
          <c:idx val="1"/>
          <c:order val="1"/>
          <c:tx>
            <c:strRef>
              <c:f>Summary!$A$1946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04-4F07-89B7-69B1E8F71B65}"/>
                </c:ext>
              </c:extLst>
            </c:dLbl>
            <c:dLbl>
              <c:idx val="1"/>
              <c:layout>
                <c:manualLayout>
                  <c:x val="1.2237836188574183E-2"/>
                  <c:y val="-3.2820724644110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04-4F07-89B7-69B1E8F71B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(Summary!$C$1946,Summary!$E$1946)</c:f>
              <c:numCache>
                <c:formatCode>0%</c:formatCode>
                <c:ptCount val="2"/>
                <c:pt idx="0">
                  <c:v>0.4</c:v>
                </c:pt>
                <c:pt idx="1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04-4F07-89B7-69B1E8F71B65}"/>
            </c:ext>
          </c:extLst>
        </c:ser>
        <c:ser>
          <c:idx val="2"/>
          <c:order val="2"/>
          <c:tx>
            <c:strRef>
              <c:f>Summary!$A$1947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04-4F07-89B7-69B1E8F71B65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04-4F07-89B7-69B1E8F71B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(Summary!$C$1947,Summary!$E$1947)</c:f>
              <c:numCache>
                <c:formatCode>0%</c:formatCode>
                <c:ptCount val="2"/>
                <c:pt idx="0">
                  <c:v>0.1</c:v>
                </c:pt>
                <c:pt idx="1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04-4F07-89B7-69B1E8F71B65}"/>
            </c:ext>
          </c:extLst>
        </c:ser>
        <c:ser>
          <c:idx val="3"/>
          <c:order val="3"/>
          <c:tx>
            <c:strRef>
              <c:f>Summary!$A$1948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090708938793483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04-4F07-89B7-69B1E8F71B65}"/>
                </c:ext>
              </c:extLst>
            </c:dLbl>
            <c:dLbl>
              <c:idx val="1"/>
              <c:layout>
                <c:manualLayout>
                  <c:x val="2.1136063408190225E-2"/>
                  <c:y val="-2.461538196482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04-4F07-89B7-69B1E8F71B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(Summary!$C$1948,Summary!$E$1948)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04-4F07-89B7-69B1E8F71B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676832"/>
        <c:axId val="341677224"/>
        <c:axId val="0"/>
      </c:bar3DChart>
      <c:catAx>
        <c:axId val="3416768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677224"/>
        <c:crosses val="autoZero"/>
        <c:auto val="1"/>
        <c:lblAlgn val="ctr"/>
        <c:lblOffset val="100"/>
        <c:noMultiLvlLbl val="0"/>
      </c:catAx>
      <c:valAx>
        <c:axId val="34167722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6768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14b. Staff supported me as a partner in the planning process.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4071888966323068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Summary!$A$1980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17-4D79-A53F-7CF94D55B46E}"/>
                </c:ext>
              </c:extLst>
            </c:dLbl>
            <c:dLbl>
              <c:idx val="1"/>
              <c:layout>
                <c:manualLayout>
                  <c:x val="1.0476497571224933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17-4D79-A53F-7CF94D55B4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(Summary!$C$1980,Summary!$E$1980)</c:f>
              <c:numCache>
                <c:formatCode>0%</c:formatCode>
                <c:ptCount val="2"/>
                <c:pt idx="0">
                  <c:v>0.4</c:v>
                </c:pt>
                <c:pt idx="1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17-4D79-A53F-7CF94D55B46E}"/>
            </c:ext>
          </c:extLst>
        </c:ser>
        <c:ser>
          <c:idx val="1"/>
          <c:order val="1"/>
          <c:tx>
            <c:strRef>
              <c:f>Summary!$A$1981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17-4D79-A53F-7CF94D55B46E}"/>
                </c:ext>
              </c:extLst>
            </c:dLbl>
            <c:dLbl>
              <c:idx val="1"/>
              <c:layout>
                <c:manualLayout>
                  <c:x val="1.3999174805923368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17-4D79-A53F-7CF94D55B4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(Summary!$C$1981,Summary!$E$1981)</c:f>
              <c:numCache>
                <c:formatCode>0%</c:formatCode>
                <c:ptCount val="2"/>
                <c:pt idx="0">
                  <c:v>0.5</c:v>
                </c:pt>
                <c:pt idx="1">
                  <c:v>0.7857142857142857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17-4D79-A53F-7CF94D55B46E}"/>
            </c:ext>
          </c:extLst>
        </c:ser>
        <c:ser>
          <c:idx val="2"/>
          <c:order val="2"/>
          <c:tx>
            <c:strRef>
              <c:f>Summary!$A$1982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17-4D79-A53F-7CF94D55B46E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17-4D79-A53F-7CF94D55B4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(Summary!$C$1982,Summary!$E$1982)</c:f>
              <c:numCache>
                <c:formatCode>0%</c:formatCode>
                <c:ptCount val="2"/>
                <c:pt idx="0">
                  <c:v>0.1</c:v>
                </c:pt>
                <c:pt idx="1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17-4D79-A53F-7CF94D55B46E}"/>
            </c:ext>
          </c:extLst>
        </c:ser>
        <c:ser>
          <c:idx val="3"/>
          <c:order val="3"/>
          <c:tx>
            <c:strRef>
              <c:f>Summary!$A$1983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852047556142668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17-4D79-A53F-7CF94D55B46E}"/>
                </c:ext>
              </c:extLst>
            </c:dLbl>
            <c:dLbl>
              <c:idx val="1"/>
              <c:layout>
                <c:manualLayout>
                  <c:x val="2.6420079260237782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17-4D79-A53F-7CF94D55B4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(Summary!$C$1983,Summary!$E$1983)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7-4D79-A53F-7CF94D55B4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678008"/>
        <c:axId val="341678400"/>
        <c:axId val="0"/>
      </c:bar3DChart>
      <c:catAx>
        <c:axId val="3416780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678400"/>
        <c:crosses val="autoZero"/>
        <c:auto val="1"/>
        <c:lblAlgn val="ctr"/>
        <c:lblOffset val="100"/>
        <c:noMultiLvlLbl val="0"/>
      </c:catAx>
      <c:valAx>
        <c:axId val="34167840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6780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14c. Staff fulfilled my request for written communication?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2134416487238965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Summary!$A$2015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80-4D84-9ECB-35C0FF2CD3B8}"/>
                </c:ext>
              </c:extLst>
            </c:dLbl>
            <c:dLbl>
              <c:idx val="1"/>
              <c:layout>
                <c:manualLayout>
                  <c:x val="1.3999174805923432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80-4D84-9ECB-35C0FF2CD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(Summary!$C$2015,Summary!$E$2015)</c:f>
              <c:numCache>
                <c:formatCode>0%</c:formatCode>
                <c:ptCount val="2"/>
                <c:pt idx="0">
                  <c:v>0.5</c:v>
                </c:pt>
                <c:pt idx="1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0-4D84-9ECB-35C0FF2CD3B8}"/>
            </c:ext>
          </c:extLst>
        </c:ser>
        <c:ser>
          <c:idx val="1"/>
          <c:order val="1"/>
          <c:tx>
            <c:strRef>
              <c:f>Summary!$A$2016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80-4D84-9ECB-35C0FF2CD3B8}"/>
                </c:ext>
              </c:extLst>
            </c:dLbl>
            <c:dLbl>
              <c:idx val="1"/>
              <c:layout>
                <c:manualLayout>
                  <c:x val="8.7151589538758123E-3"/>
                  <c:y val="-3.2820724644110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80-4D84-9ECB-35C0FF2CD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(Summary!$C$2016,Summary!$E$2016)</c:f>
              <c:numCache>
                <c:formatCode>0%</c:formatCode>
                <c:ptCount val="2"/>
                <c:pt idx="0">
                  <c:v>0.2</c:v>
                </c:pt>
                <c:pt idx="1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80-4D84-9ECB-35C0FF2CD3B8}"/>
            </c:ext>
          </c:extLst>
        </c:ser>
        <c:ser>
          <c:idx val="2"/>
          <c:order val="2"/>
          <c:tx>
            <c:strRef>
              <c:f>Summary!$A$2017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80-4D84-9ECB-35C0FF2CD3B8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80-4D84-9ECB-35C0FF2CD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(Summary!$C$2017,Summary!$E$2017)</c:f>
              <c:numCache>
                <c:formatCode>0%</c:formatCode>
                <c:ptCount val="2"/>
                <c:pt idx="0">
                  <c:v>0.3</c:v>
                </c:pt>
                <c:pt idx="1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80-4D84-9ECB-35C0FF2CD3B8}"/>
            </c:ext>
          </c:extLst>
        </c:ser>
        <c:ser>
          <c:idx val="3"/>
          <c:order val="3"/>
          <c:tx>
            <c:strRef>
              <c:f>Summary!$A$2018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613386173491855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80-4D84-9ECB-35C0FF2CD3B8}"/>
                </c:ext>
              </c:extLst>
            </c:dLbl>
            <c:dLbl>
              <c:idx val="1"/>
              <c:layout>
                <c:manualLayout>
                  <c:x val="2.2897402025539412E-2"/>
                  <c:y val="-2.461538196482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380-4D84-9ECB-35C0FF2CD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(Summary!$C$2018,Summary!$E$2018)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80-4D84-9ECB-35C0FF2CD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679184"/>
        <c:axId val="341679576"/>
        <c:axId val="0"/>
      </c:bar3DChart>
      <c:catAx>
        <c:axId val="3416791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679576"/>
        <c:crosses val="autoZero"/>
        <c:auto val="1"/>
        <c:lblAlgn val="ctr"/>
        <c:lblOffset val="100"/>
        <c:noMultiLvlLbl val="0"/>
      </c:catAx>
      <c:valAx>
        <c:axId val="34167957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679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14d. Staff referred me to community partners who understood my disability?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4071888966323068"/>
          <c:y val="1.914529708375561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Summary!$A$2050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1D-4FBF-B160-A31993CB123B}"/>
                </c:ext>
              </c:extLst>
            </c:dLbl>
            <c:dLbl>
              <c:idx val="1"/>
              <c:layout>
                <c:manualLayout>
                  <c:x val="1.576051342327249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1D-4FBF-B160-A31993CB1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(Summary!$C$2050,Summary!$E$2050)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1D-4FBF-B160-A31993CB123B}"/>
            </c:ext>
          </c:extLst>
        </c:ser>
        <c:ser>
          <c:idx val="1"/>
          <c:order val="1"/>
          <c:tx>
            <c:strRef>
              <c:f>Summary!$A$2051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1D-4FBF-B160-A31993CB123B}"/>
                </c:ext>
              </c:extLst>
            </c:dLbl>
            <c:dLbl>
              <c:idx val="1"/>
              <c:layout>
                <c:manualLayout>
                  <c:x val="8.7151589538758123E-3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1D-4FBF-B160-A31993CB1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(Summary!$C$2051,Summary!$E$2051)</c:f>
              <c:numCache>
                <c:formatCode>0%</c:formatCode>
                <c:ptCount val="2"/>
                <c:pt idx="0">
                  <c:v>0.8</c:v>
                </c:pt>
                <c:pt idx="1">
                  <c:v>0.6428571428571429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1D-4FBF-B160-A31993CB123B}"/>
            </c:ext>
          </c:extLst>
        </c:ser>
        <c:ser>
          <c:idx val="2"/>
          <c:order val="2"/>
          <c:tx>
            <c:strRef>
              <c:f>Summary!$A$2052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1D-4FBF-B160-A31993CB123B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1D-4FBF-B160-A31993CB1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(Summary!$C$2052,Summary!$E$2052)</c:f>
              <c:numCache>
                <c:formatCode>0%</c:formatCode>
                <c:ptCount val="2"/>
                <c:pt idx="0">
                  <c:v>0.2</c:v>
                </c:pt>
                <c:pt idx="1">
                  <c:v>0.35714285714285715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1D-4FBF-B160-A31993CB123B}"/>
            </c:ext>
          </c:extLst>
        </c:ser>
        <c:ser>
          <c:idx val="3"/>
          <c:order val="3"/>
          <c:tx>
            <c:strRef>
              <c:f>Summary!$A$2053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2.7350424405365212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1D-4FBF-B160-A31993CB123B}"/>
                </c:ext>
              </c:extLst>
            </c:dLbl>
            <c:dLbl>
              <c:idx val="1"/>
              <c:layout>
                <c:manualLayout>
                  <c:x val="2.2897402025539412E-2"/>
                  <c:y val="-2.461538196482864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1D-4FBF-B160-A31993CB12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(Summary!$C$2053,Summary!$E$2053)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1D-4FBF-B160-A31993CB12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680360"/>
        <c:axId val="341680752"/>
        <c:axId val="0"/>
      </c:bar3DChart>
      <c:catAx>
        <c:axId val="3416803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341680752"/>
        <c:crosses val="autoZero"/>
        <c:auto val="1"/>
        <c:lblAlgn val="ctr"/>
        <c:lblOffset val="100"/>
        <c:noMultiLvlLbl val="0"/>
      </c:catAx>
      <c:valAx>
        <c:axId val="34168075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680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8e. I was denied assistance by the other agencies?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4071888966323068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Summary!$A$1279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6-422A-96E8-49650BB1D06C}"/>
                </c:ext>
              </c:extLst>
            </c:dLbl>
            <c:dLbl>
              <c:idx val="1"/>
              <c:layout>
                <c:manualLayout>
                  <c:x val="1.223783618857411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D6-422A-96E8-49650BB1D0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(Summary!$C$1279,Summary!$E$1279)</c:f>
              <c:numCache>
                <c:formatCode>0%</c:formatCode>
                <c:ptCount val="2"/>
                <c:pt idx="0">
                  <c:v>0.18888888888888888</c:v>
                </c:pt>
                <c:pt idx="1">
                  <c:v>0.11764705882352941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D6-422A-96E8-49650BB1D06C}"/>
            </c:ext>
          </c:extLst>
        </c:ser>
        <c:ser>
          <c:idx val="1"/>
          <c:order val="1"/>
          <c:tx>
            <c:strRef>
              <c:f>Summary!$A$1280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D6-422A-96E8-49650BB1D06C}"/>
                </c:ext>
              </c:extLst>
            </c:dLbl>
            <c:dLbl>
              <c:idx val="1"/>
              <c:layout>
                <c:manualLayout>
                  <c:x val="1.752185204062174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D6-422A-96E8-49650BB1D0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(Summary!$C$1280,Summary!$E$1280)</c:f>
              <c:numCache>
                <c:formatCode>0%</c:formatCode>
                <c:ptCount val="2"/>
                <c:pt idx="0">
                  <c:v>0.32222222222222224</c:v>
                </c:pt>
                <c:pt idx="1">
                  <c:v>0.41176470588235292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D6-422A-96E8-49650BB1D06C}"/>
            </c:ext>
          </c:extLst>
        </c:ser>
        <c:ser>
          <c:idx val="2"/>
          <c:order val="2"/>
          <c:tx>
            <c:strRef>
              <c:f>Summary!$A$1281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D6-422A-96E8-49650BB1D06C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D6-422A-96E8-49650BB1D0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(Summary!$C$1281,Summary!$E$1281)</c:f>
              <c:numCache>
                <c:formatCode>0%</c:formatCode>
                <c:ptCount val="2"/>
                <c:pt idx="0">
                  <c:v>0.36666666666666664</c:v>
                </c:pt>
                <c:pt idx="1">
                  <c:v>0.26470588235294118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D6-422A-96E8-49650BB1D06C}"/>
            </c:ext>
          </c:extLst>
        </c:ser>
        <c:ser>
          <c:idx val="3"/>
          <c:order val="3"/>
          <c:tx>
            <c:strRef>
              <c:f>Summary!$A$1282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461538196482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D6-422A-96E8-49650BB1D06C}"/>
                </c:ext>
              </c:extLst>
            </c:dLbl>
            <c:dLbl>
              <c:idx val="1"/>
              <c:layout>
                <c:manualLayout>
                  <c:x val="2.8181417877586965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D6-422A-96E8-49650BB1D0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(Summary!$C$1282,Summary!$E$1282)</c:f>
              <c:numCache>
                <c:formatCode>0%</c:formatCode>
                <c:ptCount val="2"/>
                <c:pt idx="0">
                  <c:v>0.12222222222222222</c:v>
                </c:pt>
                <c:pt idx="1">
                  <c:v>0.20588235294117646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D6-422A-96E8-49650BB1D0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41681536"/>
        <c:axId val="428588928"/>
        <c:axId val="0"/>
      </c:bar3DChart>
      <c:catAx>
        <c:axId val="3416815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8588928"/>
        <c:crosses val="autoZero"/>
        <c:auto val="1"/>
        <c:lblAlgn val="ctr"/>
        <c:lblOffset val="100"/>
        <c:noMultiLvlLbl val="0"/>
      </c:catAx>
      <c:valAx>
        <c:axId val="42858892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16815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3. My counselor understood my needs?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9003637094900785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Summary!$A$256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00-4550-B3B9-F3482CD6866A}"/>
                </c:ext>
              </c:extLst>
            </c:dLbl>
            <c:dLbl>
              <c:idx val="1"/>
              <c:layout>
                <c:manualLayout>
                  <c:x val="1.0476497571224997E-2"/>
                  <c:y val="-2.461559732250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00-4550-B3B9-F3482CD686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(Summary!$C$256,Summary!$E$256)</c:f>
              <c:numCache>
                <c:formatCode>0%</c:formatCode>
                <c:ptCount val="2"/>
                <c:pt idx="0">
                  <c:v>0.79912663755458513</c:v>
                </c:pt>
                <c:pt idx="1">
                  <c:v>0.60824742268041232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0-4550-B3B9-F3482CD6866A}"/>
            </c:ext>
          </c:extLst>
        </c:ser>
        <c:ser>
          <c:idx val="1"/>
          <c:order val="1"/>
          <c:tx>
            <c:strRef>
              <c:f>Summary!$A$257</c:f>
              <c:strCache>
                <c:ptCount val="1"/>
                <c:pt idx="0">
                  <c:v>Mostly 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00-4550-B3B9-F3482CD6866A}"/>
                </c:ext>
              </c:extLst>
            </c:dLbl>
            <c:dLbl>
              <c:idx val="1"/>
              <c:layout>
                <c:manualLayout>
                  <c:x val="1.223783618857418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00-4550-B3B9-F3482CD686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(Summary!$C$257,Summary!$E$257)</c:f>
              <c:numCache>
                <c:formatCode>0%</c:formatCode>
                <c:ptCount val="2"/>
                <c:pt idx="0">
                  <c:v>0.13100436681222707</c:v>
                </c:pt>
                <c:pt idx="1">
                  <c:v>0.16494845360824742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00-4550-B3B9-F3482CD6866A}"/>
            </c:ext>
          </c:extLst>
        </c:ser>
        <c:ser>
          <c:idx val="2"/>
          <c:order val="2"/>
          <c:tx>
            <c:strRef>
              <c:f>Summary!$A$258</c:f>
              <c:strCache>
                <c:ptCount val="1"/>
                <c:pt idx="0">
                  <c:v>Mostly 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00-4550-B3B9-F3482CD6866A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00-4550-B3B9-F3482CD686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(Summary!$C$258,Summary!$E$258)</c:f>
              <c:numCache>
                <c:formatCode>0%</c:formatCode>
                <c:ptCount val="2"/>
                <c:pt idx="0">
                  <c:v>2.6200873362445413E-2</c:v>
                </c:pt>
                <c:pt idx="1">
                  <c:v>8.247422680412371E-2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00-4550-B3B9-F3482CD6866A}"/>
            </c:ext>
          </c:extLst>
        </c:ser>
        <c:ser>
          <c:idx val="3"/>
          <c:order val="3"/>
          <c:tx>
            <c:strRef>
              <c:f>Summary!$A$259</c:f>
              <c:strCache>
                <c:ptCount val="1"/>
                <c:pt idx="0">
                  <c:v>Untrue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344569288389514E-2"/>
                  <c:y val="-2.4615381964828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00-4550-B3B9-F3482CD6866A}"/>
                </c:ext>
              </c:extLst>
            </c:dLbl>
            <c:dLbl>
              <c:idx val="1"/>
              <c:layout>
                <c:manualLayout>
                  <c:x val="2.8089887640449437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00-4550-B3B9-F3482CD686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(Summary!$C$259,Summary!$E$259)</c:f>
              <c:numCache>
                <c:formatCode>0%</c:formatCode>
                <c:ptCount val="2"/>
                <c:pt idx="0">
                  <c:v>3.0567685589519649E-2</c:v>
                </c:pt>
                <c:pt idx="1">
                  <c:v>0.14432989690721648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00-4550-B3B9-F3482CD6866A}"/>
            </c:ext>
          </c:extLst>
        </c:ser>
        <c:ser>
          <c:idx val="4"/>
          <c:order val="4"/>
          <c:tx>
            <c:strRef>
              <c:f>Summary!$A$260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00-4550-B3B9-F3482CD6866A}"/>
                </c:ext>
              </c:extLst>
            </c:dLbl>
            <c:dLbl>
              <c:idx val="1"/>
              <c:layout>
                <c:manualLayout>
                  <c:x val="2.6420079260237782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00-4550-B3B9-F3482CD686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(Summary!$C$260,Summary!$E$260)</c:f>
              <c:numCache>
                <c:formatCode>0%</c:formatCode>
                <c:ptCount val="2"/>
                <c:pt idx="0">
                  <c:v>1.3100436681222707E-2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00-4550-B3B9-F3482CD686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5043088"/>
        <c:axId val="425043480"/>
        <c:axId val="0"/>
      </c:bar3DChart>
      <c:catAx>
        <c:axId val="4250430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5043480"/>
        <c:crosses val="autoZero"/>
        <c:auto val="1"/>
        <c:lblAlgn val="ctr"/>
        <c:lblOffset val="100"/>
        <c:noMultiLvlLbl val="0"/>
      </c:catAx>
      <c:valAx>
        <c:axId val="42504348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5043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3a. My counselor gave me useful advice?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20060440265310298"/>
          <c:y val="2.73504244053651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Summary!$A$293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D0-4963-AB28-DEE7CC64F736}"/>
                </c:ext>
              </c:extLst>
            </c:dLbl>
            <c:dLbl>
              <c:idx val="1"/>
              <c:layout>
                <c:manualLayout>
                  <c:x val="1.7521852040621802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D0-4963-AB28-DEE7CC64F7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(Summary!$C$293,Summary!$E$293)</c:f>
              <c:numCache>
                <c:formatCode>0%</c:formatCode>
                <c:ptCount val="2"/>
                <c:pt idx="0">
                  <c:v>0.23076923076923078</c:v>
                </c:pt>
                <c:pt idx="1">
                  <c:v>4.5454545454545456E-2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0-4963-AB28-DEE7CC64F736}"/>
            </c:ext>
          </c:extLst>
        </c:ser>
        <c:ser>
          <c:idx val="1"/>
          <c:order val="1"/>
          <c:tx>
            <c:strRef>
              <c:f>Summary!$A$294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D0-4963-AB28-DEE7CC64F736}"/>
                </c:ext>
              </c:extLst>
            </c:dLbl>
            <c:dLbl>
              <c:idx val="1"/>
              <c:layout>
                <c:manualLayout>
                  <c:x val="1.5760513423272553E-2"/>
                  <c:y val="-3.2820724644110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D0-4963-AB28-DEE7CC64F7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(Summary!$C$294,Summary!$E$294)</c:f>
              <c:numCache>
                <c:formatCode>0%</c:formatCode>
                <c:ptCount val="2"/>
                <c:pt idx="0">
                  <c:v>0.46153846153846156</c:v>
                </c:pt>
                <c:pt idx="1">
                  <c:v>0.81818181818181823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D0-4963-AB28-DEE7CC64F736}"/>
            </c:ext>
          </c:extLst>
        </c:ser>
        <c:ser>
          <c:idx val="2"/>
          <c:order val="2"/>
          <c:tx>
            <c:strRef>
              <c:f>Summary!$A$295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D0-4963-AB28-DEE7CC64F736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D0-4963-AB28-DEE7CC64F7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(Summary!$C$295,Summary!$E$295)</c:f>
              <c:numCache>
                <c:formatCode>0%</c:formatCode>
                <c:ptCount val="2"/>
                <c:pt idx="0">
                  <c:v>0.30769230769230771</c:v>
                </c:pt>
                <c:pt idx="1">
                  <c:v>0.13636363636363635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D0-4963-AB28-DEE7CC64F736}"/>
            </c:ext>
          </c:extLst>
        </c:ser>
        <c:ser>
          <c:idx val="3"/>
          <c:order val="3"/>
          <c:tx>
            <c:strRef>
              <c:f>Summary!$A$296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7350424405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D0-4963-AB28-DEE7CC64F736}"/>
                </c:ext>
              </c:extLst>
            </c:dLbl>
            <c:dLbl>
              <c:idx val="1"/>
              <c:layout>
                <c:manualLayout>
                  <c:x val="2.2897402025539412E-2"/>
                  <c:y val="-3.282050928643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D0-4963-AB28-DEE7CC64F7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(Summary!$C$296,Summary!$E$296)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BD0-4963-AB28-DEE7CC64F7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5044264"/>
        <c:axId val="425044656"/>
        <c:axId val="0"/>
      </c:bar3DChart>
      <c:catAx>
        <c:axId val="4250442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5044656"/>
        <c:crosses val="autoZero"/>
        <c:auto val="1"/>
        <c:lblAlgn val="ctr"/>
        <c:lblOffset val="100"/>
        <c:noMultiLvlLbl val="0"/>
      </c:catAx>
      <c:valAx>
        <c:axId val="4250446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5044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3b. My counselor helped me find resources in the community?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6009361445407172"/>
          <c:y val="3.282050928643819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638326108112894E-2"/>
          <c:y val="0.18872481984253908"/>
          <c:w val="0.89376242295555752"/>
          <c:h val="0.665056365563619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Summary!$A$329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88-4538-940A-F1597D6F531A}"/>
                </c:ext>
              </c:extLst>
            </c:dLbl>
            <c:dLbl>
              <c:idx val="1"/>
              <c:layout>
                <c:manualLayout>
                  <c:x val="1.2237836188574118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88-4538-940A-F1597D6F5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(Summary!$C$329,Summary!$E$329)</c:f>
              <c:numCache>
                <c:formatCode>0%</c:formatCode>
                <c:ptCount val="2"/>
                <c:pt idx="0">
                  <c:v>0.38461538461538464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88-4538-940A-F1597D6F531A}"/>
            </c:ext>
          </c:extLst>
        </c:ser>
        <c:ser>
          <c:idx val="1"/>
          <c:order val="1"/>
          <c:tx>
            <c:strRef>
              <c:f>Summary!$A$330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88-4538-940A-F1597D6F531A}"/>
                </c:ext>
              </c:extLst>
            </c:dLbl>
            <c:dLbl>
              <c:idx val="1"/>
              <c:layout>
                <c:manualLayout>
                  <c:x val="1.223783618857418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88-4538-940A-F1597D6F5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(Summary!$C$330,Summary!$E$330)</c:f>
              <c:numCache>
                <c:formatCode>0%</c:formatCode>
                <c:ptCount val="2"/>
                <c:pt idx="0">
                  <c:v>0.53846153846153844</c:v>
                </c:pt>
                <c:pt idx="1">
                  <c:v>0.86363636363636365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88-4538-940A-F1597D6F531A}"/>
            </c:ext>
          </c:extLst>
        </c:ser>
        <c:ser>
          <c:idx val="2"/>
          <c:order val="2"/>
          <c:tx>
            <c:strRef>
              <c:f>Summary!$A$331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88-4538-940A-F1597D6F531A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88-4538-940A-F1597D6F5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(Summary!$C$331,Summary!$E$331)</c:f>
              <c:numCache>
                <c:formatCode>0%</c:formatCode>
                <c:ptCount val="2"/>
                <c:pt idx="0">
                  <c:v>0</c:v>
                </c:pt>
                <c:pt idx="1">
                  <c:v>0.13636363636363635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88-4538-940A-F1597D6F531A}"/>
            </c:ext>
          </c:extLst>
        </c:ser>
        <c:ser>
          <c:idx val="3"/>
          <c:order val="3"/>
          <c:tx>
            <c:strRef>
              <c:f>Summary!$A$332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74724790841038E-2"/>
                  <c:y val="-2.4615381964828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88-4538-940A-F1597D6F531A}"/>
                </c:ext>
              </c:extLst>
            </c:dLbl>
            <c:dLbl>
              <c:idx val="1"/>
              <c:layout>
                <c:manualLayout>
                  <c:x val="2.4658740642888595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88-4538-940A-F1597D6F5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(Summary!$C$332,Summary!$E$332)</c:f>
              <c:numCache>
                <c:formatCode>0%</c:formatCode>
                <c:ptCount val="2"/>
                <c:pt idx="0">
                  <c:v>7.6923076923076927E-2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88-4538-940A-F1597D6F53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27713536"/>
        <c:axId val="425045440"/>
        <c:axId val="0"/>
      </c:bar3DChart>
      <c:catAx>
        <c:axId val="4277135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425045440"/>
        <c:crosses val="autoZero"/>
        <c:auto val="1"/>
        <c:lblAlgn val="ctr"/>
        <c:lblOffset val="100"/>
        <c:noMultiLvlLbl val="0"/>
      </c:catAx>
      <c:valAx>
        <c:axId val="42504544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77135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3c. My counselor helped me challenge my expectations of myself?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13493767704400225"/>
          <c:y val="3.00854668459016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638326108112894E-2"/>
          <c:y val="0.19966498960468515"/>
          <c:w val="0.89376242295555752"/>
          <c:h val="0.654116195801472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Summary!$A$365</c:f>
              <c:strCache>
                <c:ptCount val="1"/>
                <c:pt idx="0">
                  <c:v>True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719101123595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C-4C09-BAFD-139BC0D58E1A}"/>
                </c:ext>
              </c:extLst>
            </c:dLbl>
            <c:dLbl>
              <c:idx val="1"/>
              <c:layout>
                <c:manualLayout>
                  <c:x val="1.5760513423272553E-2"/>
                  <c:y val="-2.4615381964828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EC-4C09-BAFD-139BC0D58E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(Summary!$C$365,Summary!$E$365)</c:f>
              <c:numCache>
                <c:formatCode>0%</c:formatCode>
                <c:ptCount val="2"/>
                <c:pt idx="0">
                  <c:v>0</c:v>
                </c:pt>
                <c:pt idx="1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EC-4C09-BAFD-139BC0D58E1A}"/>
            </c:ext>
          </c:extLst>
        </c:ser>
        <c:ser>
          <c:idx val="1"/>
          <c:order val="1"/>
          <c:tx>
            <c:strRef>
              <c:f>Summary!$A$366</c:f>
              <c:strCache>
                <c:ptCount val="1"/>
                <c:pt idx="0">
                  <c:v>False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217228464419477E-2"/>
                  <c:y val="-2.461538196482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EC-4C09-BAFD-139BC0D58E1A}"/>
                </c:ext>
              </c:extLst>
            </c:dLbl>
            <c:dLbl>
              <c:idx val="1"/>
              <c:layout>
                <c:manualLayout>
                  <c:x val="1.5760513423272553E-2"/>
                  <c:y val="-3.2820509286438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EC-4C09-BAFD-139BC0D58E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(Summary!$C$366,Summary!$E$366)</c:f>
              <c:numCache>
                <c:formatCode>0%</c:formatCode>
                <c:ptCount val="2"/>
                <c:pt idx="0">
                  <c:v>0.69230769230769229</c:v>
                </c:pt>
                <c:pt idx="1">
                  <c:v>0.81818181818181823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EC-4C09-BAFD-139BC0D58E1A}"/>
            </c:ext>
          </c:extLst>
        </c:ser>
        <c:ser>
          <c:idx val="2"/>
          <c:order val="2"/>
          <c:tx>
            <c:strRef>
              <c:f>Summary!$A$367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08614232209739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EC-4C09-BAFD-139BC0D58E1A}"/>
                </c:ext>
              </c:extLst>
            </c:dLbl>
            <c:dLbl>
              <c:idx val="1"/>
              <c:layout>
                <c:manualLayout>
                  <c:x val="1.8726591760299626E-2"/>
                  <c:y val="-3.00854668459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EC-4C09-BAFD-139BC0D58E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(Summary!$C$367,Summary!$E$367)</c:f>
              <c:numCache>
                <c:formatCode>0%</c:formatCode>
                <c:ptCount val="2"/>
                <c:pt idx="0">
                  <c:v>0.30769230769230771</c:v>
                </c:pt>
                <c:pt idx="1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EC-4C09-BAFD-139BC0D58E1A}"/>
            </c:ext>
          </c:extLst>
        </c:ser>
        <c:ser>
          <c:idx val="3"/>
          <c:order val="3"/>
          <c:tx>
            <c:strRef>
              <c:f>Summary!$A$368</c:f>
              <c:strCache>
                <c:ptCount val="1"/>
                <c:pt idx="0">
                  <c:v>Not Answered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136063408190225E-2"/>
                  <c:y val="-2.7350424405365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EC-4C09-BAFD-139BC0D58E1A}"/>
                </c:ext>
              </c:extLst>
            </c:dLbl>
            <c:dLbl>
              <c:idx val="1"/>
              <c:layout>
                <c:manualLayout>
                  <c:x val="2.4658740642888595E-2"/>
                  <c:y val="-2.1880339524292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EC-4C09-BAFD-139BC0D58E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(Summary!$C$368,Summary!$E$368)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2EC-4C09-BAFD-139BC0D58E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263879912"/>
        <c:axId val="263877168"/>
        <c:axId val="0"/>
      </c:bar3DChart>
      <c:catAx>
        <c:axId val="2638799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Successful                            Status                               Unsuccessful</a:t>
                </a:r>
              </a:p>
            </c:rich>
          </c:tx>
          <c:overlay val="0"/>
        </c:title>
        <c:majorTickMark val="none"/>
        <c:minorTickMark val="none"/>
        <c:tickLblPos val="nextTo"/>
        <c:crossAx val="263877168"/>
        <c:crosses val="autoZero"/>
        <c:auto val="1"/>
        <c:lblAlgn val="ctr"/>
        <c:lblOffset val="100"/>
        <c:noMultiLvlLbl val="0"/>
      </c:catAx>
      <c:valAx>
        <c:axId val="2638771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63879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381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80</xdr:row>
      <xdr:rowOff>71437</xdr:rowOff>
    </xdr:from>
    <xdr:to>
      <xdr:col>9</xdr:col>
      <xdr:colOff>609599</xdr:colOff>
      <xdr:row>105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116</xdr:row>
      <xdr:rowOff>90487</xdr:rowOff>
    </xdr:from>
    <xdr:to>
      <xdr:col>9</xdr:col>
      <xdr:colOff>609600</xdr:colOff>
      <xdr:row>141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152</xdr:row>
      <xdr:rowOff>90487</xdr:rowOff>
    </xdr:from>
    <xdr:to>
      <xdr:col>9</xdr:col>
      <xdr:colOff>609600</xdr:colOff>
      <xdr:row>178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188</xdr:row>
      <xdr:rowOff>90487</xdr:rowOff>
    </xdr:from>
    <xdr:to>
      <xdr:col>9</xdr:col>
      <xdr:colOff>609600</xdr:colOff>
      <xdr:row>214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95250</xdr:colOff>
      <xdr:row>224</xdr:row>
      <xdr:rowOff>90487</xdr:rowOff>
    </xdr:from>
    <xdr:to>
      <xdr:col>9</xdr:col>
      <xdr:colOff>609600</xdr:colOff>
      <xdr:row>250</xdr:row>
      <xdr:rowOff>28575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95250</xdr:colOff>
      <xdr:row>261</xdr:row>
      <xdr:rowOff>90487</xdr:rowOff>
    </xdr:from>
    <xdr:to>
      <xdr:col>9</xdr:col>
      <xdr:colOff>609600</xdr:colOff>
      <xdr:row>287</xdr:row>
      <xdr:rowOff>28575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66675</xdr:colOff>
      <xdr:row>297</xdr:row>
      <xdr:rowOff>90487</xdr:rowOff>
    </xdr:from>
    <xdr:to>
      <xdr:col>9</xdr:col>
      <xdr:colOff>581025</xdr:colOff>
      <xdr:row>323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333</xdr:row>
      <xdr:rowOff>90487</xdr:rowOff>
    </xdr:from>
    <xdr:to>
      <xdr:col>9</xdr:col>
      <xdr:colOff>581025</xdr:colOff>
      <xdr:row>359</xdr:row>
      <xdr:rowOff>28575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369</xdr:row>
      <xdr:rowOff>90487</xdr:rowOff>
    </xdr:from>
    <xdr:to>
      <xdr:col>9</xdr:col>
      <xdr:colOff>581025</xdr:colOff>
      <xdr:row>395</xdr:row>
      <xdr:rowOff>28575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47625</xdr:colOff>
      <xdr:row>407</xdr:row>
      <xdr:rowOff>33336</xdr:rowOff>
    </xdr:from>
    <xdr:to>
      <xdr:col>9</xdr:col>
      <xdr:colOff>619125</xdr:colOff>
      <xdr:row>433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66675</xdr:colOff>
      <xdr:row>443</xdr:row>
      <xdr:rowOff>90487</xdr:rowOff>
    </xdr:from>
    <xdr:to>
      <xdr:col>9</xdr:col>
      <xdr:colOff>581025</xdr:colOff>
      <xdr:row>469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47624</xdr:colOff>
      <xdr:row>479</xdr:row>
      <xdr:rowOff>52386</xdr:rowOff>
    </xdr:from>
    <xdr:to>
      <xdr:col>9</xdr:col>
      <xdr:colOff>609599</xdr:colOff>
      <xdr:row>502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66675</xdr:colOff>
      <xdr:row>513</xdr:row>
      <xdr:rowOff>90487</xdr:rowOff>
    </xdr:from>
    <xdr:to>
      <xdr:col>9</xdr:col>
      <xdr:colOff>581025</xdr:colOff>
      <xdr:row>539</xdr:row>
      <xdr:rowOff>28575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57150</xdr:colOff>
      <xdr:row>550</xdr:row>
      <xdr:rowOff>42861</xdr:rowOff>
    </xdr:from>
    <xdr:to>
      <xdr:col>9</xdr:col>
      <xdr:colOff>628650</xdr:colOff>
      <xdr:row>570</xdr:row>
      <xdr:rowOff>152399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66675</xdr:colOff>
      <xdr:row>580</xdr:row>
      <xdr:rowOff>90487</xdr:rowOff>
    </xdr:from>
    <xdr:to>
      <xdr:col>9</xdr:col>
      <xdr:colOff>581025</xdr:colOff>
      <xdr:row>606</xdr:row>
      <xdr:rowOff>28575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47624</xdr:colOff>
      <xdr:row>616</xdr:row>
      <xdr:rowOff>52386</xdr:rowOff>
    </xdr:from>
    <xdr:to>
      <xdr:col>9</xdr:col>
      <xdr:colOff>609599</xdr:colOff>
      <xdr:row>639</xdr:row>
      <xdr:rowOff>123824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66675</xdr:colOff>
      <xdr:row>650</xdr:row>
      <xdr:rowOff>90487</xdr:rowOff>
    </xdr:from>
    <xdr:to>
      <xdr:col>9</xdr:col>
      <xdr:colOff>581025</xdr:colOff>
      <xdr:row>676</xdr:row>
      <xdr:rowOff>28575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95250</xdr:colOff>
      <xdr:row>686</xdr:row>
      <xdr:rowOff>90487</xdr:rowOff>
    </xdr:from>
    <xdr:to>
      <xdr:col>9</xdr:col>
      <xdr:colOff>609600</xdr:colOff>
      <xdr:row>712</xdr:row>
      <xdr:rowOff>28575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1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66675</xdr:colOff>
      <xdr:row>722</xdr:row>
      <xdr:rowOff>90487</xdr:rowOff>
    </xdr:from>
    <xdr:to>
      <xdr:col>9</xdr:col>
      <xdr:colOff>581025</xdr:colOff>
      <xdr:row>748</xdr:row>
      <xdr:rowOff>28575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100-00001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66675</xdr:colOff>
      <xdr:row>757</xdr:row>
      <xdr:rowOff>90487</xdr:rowOff>
    </xdr:from>
    <xdr:to>
      <xdr:col>9</xdr:col>
      <xdr:colOff>581025</xdr:colOff>
      <xdr:row>783</xdr:row>
      <xdr:rowOff>28575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100-00001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66675</xdr:colOff>
      <xdr:row>792</xdr:row>
      <xdr:rowOff>90487</xdr:rowOff>
    </xdr:from>
    <xdr:to>
      <xdr:col>9</xdr:col>
      <xdr:colOff>581025</xdr:colOff>
      <xdr:row>818</xdr:row>
      <xdr:rowOff>28575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100-00001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66675</xdr:colOff>
      <xdr:row>827</xdr:row>
      <xdr:rowOff>90487</xdr:rowOff>
    </xdr:from>
    <xdr:to>
      <xdr:col>9</xdr:col>
      <xdr:colOff>581025</xdr:colOff>
      <xdr:row>853</xdr:row>
      <xdr:rowOff>28575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100-00001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66675</xdr:colOff>
      <xdr:row>862</xdr:row>
      <xdr:rowOff>90487</xdr:rowOff>
    </xdr:from>
    <xdr:to>
      <xdr:col>9</xdr:col>
      <xdr:colOff>581025</xdr:colOff>
      <xdr:row>888</xdr:row>
      <xdr:rowOff>28575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100-00001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66675</xdr:colOff>
      <xdr:row>898</xdr:row>
      <xdr:rowOff>90487</xdr:rowOff>
    </xdr:from>
    <xdr:to>
      <xdr:col>9</xdr:col>
      <xdr:colOff>581025</xdr:colOff>
      <xdr:row>922</xdr:row>
      <xdr:rowOff>127000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100-00001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66675</xdr:colOff>
      <xdr:row>932</xdr:row>
      <xdr:rowOff>90487</xdr:rowOff>
    </xdr:from>
    <xdr:to>
      <xdr:col>9</xdr:col>
      <xdr:colOff>581025</xdr:colOff>
      <xdr:row>958</xdr:row>
      <xdr:rowOff>28575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100-00001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66675</xdr:colOff>
      <xdr:row>967</xdr:row>
      <xdr:rowOff>90487</xdr:rowOff>
    </xdr:from>
    <xdr:to>
      <xdr:col>9</xdr:col>
      <xdr:colOff>581025</xdr:colOff>
      <xdr:row>993</xdr:row>
      <xdr:rowOff>28575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100-00001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66675</xdr:colOff>
      <xdr:row>1002</xdr:row>
      <xdr:rowOff>90487</xdr:rowOff>
    </xdr:from>
    <xdr:to>
      <xdr:col>9</xdr:col>
      <xdr:colOff>581025</xdr:colOff>
      <xdr:row>1028</xdr:row>
      <xdr:rowOff>28575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100-00002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66675</xdr:colOff>
      <xdr:row>1037</xdr:row>
      <xdr:rowOff>90487</xdr:rowOff>
    </xdr:from>
    <xdr:to>
      <xdr:col>9</xdr:col>
      <xdr:colOff>581025</xdr:colOff>
      <xdr:row>1063</xdr:row>
      <xdr:rowOff>28575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100-00002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66675</xdr:colOff>
      <xdr:row>1072</xdr:row>
      <xdr:rowOff>90487</xdr:rowOff>
    </xdr:from>
    <xdr:to>
      <xdr:col>9</xdr:col>
      <xdr:colOff>581025</xdr:colOff>
      <xdr:row>1098</xdr:row>
      <xdr:rowOff>28575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100-00002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66675</xdr:colOff>
      <xdr:row>1108</xdr:row>
      <xdr:rowOff>90487</xdr:rowOff>
    </xdr:from>
    <xdr:to>
      <xdr:col>9</xdr:col>
      <xdr:colOff>581025</xdr:colOff>
      <xdr:row>1134</xdr:row>
      <xdr:rowOff>28575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100-00002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66675</xdr:colOff>
      <xdr:row>1143</xdr:row>
      <xdr:rowOff>90487</xdr:rowOff>
    </xdr:from>
    <xdr:to>
      <xdr:col>9</xdr:col>
      <xdr:colOff>581025</xdr:colOff>
      <xdr:row>1169</xdr:row>
      <xdr:rowOff>28575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100-00002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66675</xdr:colOff>
      <xdr:row>1178</xdr:row>
      <xdr:rowOff>90487</xdr:rowOff>
    </xdr:from>
    <xdr:to>
      <xdr:col>9</xdr:col>
      <xdr:colOff>581025</xdr:colOff>
      <xdr:row>1204</xdr:row>
      <xdr:rowOff>28575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100-00002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66675</xdr:colOff>
      <xdr:row>1213</xdr:row>
      <xdr:rowOff>90487</xdr:rowOff>
    </xdr:from>
    <xdr:to>
      <xdr:col>9</xdr:col>
      <xdr:colOff>581025</xdr:colOff>
      <xdr:row>1239</xdr:row>
      <xdr:rowOff>28575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0000000-0008-0000-0100-00002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66675</xdr:colOff>
      <xdr:row>1248</xdr:row>
      <xdr:rowOff>90487</xdr:rowOff>
    </xdr:from>
    <xdr:to>
      <xdr:col>9</xdr:col>
      <xdr:colOff>581025</xdr:colOff>
      <xdr:row>1274</xdr:row>
      <xdr:rowOff>28575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100-00002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66675</xdr:colOff>
      <xdr:row>1319</xdr:row>
      <xdr:rowOff>90487</xdr:rowOff>
    </xdr:from>
    <xdr:to>
      <xdr:col>9</xdr:col>
      <xdr:colOff>581025</xdr:colOff>
      <xdr:row>1345</xdr:row>
      <xdr:rowOff>28575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0000000-0008-0000-0100-00002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66675</xdr:colOff>
      <xdr:row>1355</xdr:row>
      <xdr:rowOff>90487</xdr:rowOff>
    </xdr:from>
    <xdr:to>
      <xdr:col>9</xdr:col>
      <xdr:colOff>581025</xdr:colOff>
      <xdr:row>1377</xdr:row>
      <xdr:rowOff>158750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000000-0008-0000-0100-00002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66675</xdr:colOff>
      <xdr:row>1389</xdr:row>
      <xdr:rowOff>90487</xdr:rowOff>
    </xdr:from>
    <xdr:to>
      <xdr:col>9</xdr:col>
      <xdr:colOff>581025</xdr:colOff>
      <xdr:row>1412</xdr:row>
      <xdr:rowOff>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0000000-0008-0000-0100-00002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66675</xdr:colOff>
      <xdr:row>1421</xdr:row>
      <xdr:rowOff>90487</xdr:rowOff>
    </xdr:from>
    <xdr:to>
      <xdr:col>9</xdr:col>
      <xdr:colOff>581025</xdr:colOff>
      <xdr:row>1447</xdr:row>
      <xdr:rowOff>28575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100-00002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66675</xdr:colOff>
      <xdr:row>1456</xdr:row>
      <xdr:rowOff>90487</xdr:rowOff>
    </xdr:from>
    <xdr:to>
      <xdr:col>9</xdr:col>
      <xdr:colOff>581025</xdr:colOff>
      <xdr:row>1482</xdr:row>
      <xdr:rowOff>28575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00000000-0008-0000-0100-00002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66675</xdr:colOff>
      <xdr:row>1491</xdr:row>
      <xdr:rowOff>90487</xdr:rowOff>
    </xdr:from>
    <xdr:to>
      <xdr:col>9</xdr:col>
      <xdr:colOff>581025</xdr:colOff>
      <xdr:row>1517</xdr:row>
      <xdr:rowOff>28575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00000000-0008-0000-0100-00002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66675</xdr:colOff>
      <xdr:row>1526</xdr:row>
      <xdr:rowOff>90487</xdr:rowOff>
    </xdr:from>
    <xdr:to>
      <xdr:col>9</xdr:col>
      <xdr:colOff>581025</xdr:colOff>
      <xdr:row>1552</xdr:row>
      <xdr:rowOff>28575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00000000-0008-0000-0100-00002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66675</xdr:colOff>
      <xdr:row>1562</xdr:row>
      <xdr:rowOff>90487</xdr:rowOff>
    </xdr:from>
    <xdr:to>
      <xdr:col>9</xdr:col>
      <xdr:colOff>581025</xdr:colOff>
      <xdr:row>1588</xdr:row>
      <xdr:rowOff>28575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00000000-0008-0000-0100-00002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66675</xdr:colOff>
      <xdr:row>1597</xdr:row>
      <xdr:rowOff>90487</xdr:rowOff>
    </xdr:from>
    <xdr:to>
      <xdr:col>9</xdr:col>
      <xdr:colOff>581025</xdr:colOff>
      <xdr:row>1623</xdr:row>
      <xdr:rowOff>28575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0000000-0008-0000-0100-00003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66675</xdr:colOff>
      <xdr:row>1632</xdr:row>
      <xdr:rowOff>90487</xdr:rowOff>
    </xdr:from>
    <xdr:to>
      <xdr:col>9</xdr:col>
      <xdr:colOff>581025</xdr:colOff>
      <xdr:row>1658</xdr:row>
      <xdr:rowOff>28575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00000000-0008-0000-0100-00003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66675</xdr:colOff>
      <xdr:row>1667</xdr:row>
      <xdr:rowOff>90487</xdr:rowOff>
    </xdr:from>
    <xdr:to>
      <xdr:col>9</xdr:col>
      <xdr:colOff>581025</xdr:colOff>
      <xdr:row>1693</xdr:row>
      <xdr:rowOff>28575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00000000-0008-0000-0100-00003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66675</xdr:colOff>
      <xdr:row>1702</xdr:row>
      <xdr:rowOff>90487</xdr:rowOff>
    </xdr:from>
    <xdr:to>
      <xdr:col>9</xdr:col>
      <xdr:colOff>581025</xdr:colOff>
      <xdr:row>1728</xdr:row>
      <xdr:rowOff>28575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00000000-0008-0000-0100-00003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66675</xdr:colOff>
      <xdr:row>1738</xdr:row>
      <xdr:rowOff>90487</xdr:rowOff>
    </xdr:from>
    <xdr:to>
      <xdr:col>9</xdr:col>
      <xdr:colOff>581025</xdr:colOff>
      <xdr:row>1764</xdr:row>
      <xdr:rowOff>28575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00000000-0008-0000-0100-00003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66675</xdr:colOff>
      <xdr:row>1773</xdr:row>
      <xdr:rowOff>90487</xdr:rowOff>
    </xdr:from>
    <xdr:to>
      <xdr:col>9</xdr:col>
      <xdr:colOff>581025</xdr:colOff>
      <xdr:row>1799</xdr:row>
      <xdr:rowOff>28575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00000000-0008-0000-0100-00003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66675</xdr:colOff>
      <xdr:row>1808</xdr:row>
      <xdr:rowOff>90487</xdr:rowOff>
    </xdr:from>
    <xdr:to>
      <xdr:col>9</xdr:col>
      <xdr:colOff>581025</xdr:colOff>
      <xdr:row>1834</xdr:row>
      <xdr:rowOff>28575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00000000-0008-0000-0100-00003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66675</xdr:colOff>
      <xdr:row>1843</xdr:row>
      <xdr:rowOff>90487</xdr:rowOff>
    </xdr:from>
    <xdr:to>
      <xdr:col>9</xdr:col>
      <xdr:colOff>581025</xdr:colOff>
      <xdr:row>1869</xdr:row>
      <xdr:rowOff>28575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00000000-0008-0000-0100-00003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66675</xdr:colOff>
      <xdr:row>1878</xdr:row>
      <xdr:rowOff>90487</xdr:rowOff>
    </xdr:from>
    <xdr:to>
      <xdr:col>9</xdr:col>
      <xdr:colOff>581025</xdr:colOff>
      <xdr:row>1904</xdr:row>
      <xdr:rowOff>28575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00000000-0008-0000-0100-00003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66675</xdr:colOff>
      <xdr:row>1914</xdr:row>
      <xdr:rowOff>90487</xdr:rowOff>
    </xdr:from>
    <xdr:to>
      <xdr:col>9</xdr:col>
      <xdr:colOff>581025</xdr:colOff>
      <xdr:row>1940</xdr:row>
      <xdr:rowOff>28575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100-00003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66675</xdr:colOff>
      <xdr:row>1949</xdr:row>
      <xdr:rowOff>90487</xdr:rowOff>
    </xdr:from>
    <xdr:to>
      <xdr:col>9</xdr:col>
      <xdr:colOff>581025</xdr:colOff>
      <xdr:row>1975</xdr:row>
      <xdr:rowOff>28575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00000000-0008-0000-0100-00003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66675</xdr:colOff>
      <xdr:row>1984</xdr:row>
      <xdr:rowOff>90487</xdr:rowOff>
    </xdr:from>
    <xdr:to>
      <xdr:col>9</xdr:col>
      <xdr:colOff>581025</xdr:colOff>
      <xdr:row>2010</xdr:row>
      <xdr:rowOff>28575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0000000-0008-0000-0100-00003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66675</xdr:colOff>
      <xdr:row>2019</xdr:row>
      <xdr:rowOff>90487</xdr:rowOff>
    </xdr:from>
    <xdr:to>
      <xdr:col>9</xdr:col>
      <xdr:colOff>581025</xdr:colOff>
      <xdr:row>2045</xdr:row>
      <xdr:rowOff>28575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00000000-0008-0000-0100-00003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66675</xdr:colOff>
      <xdr:row>2054</xdr:row>
      <xdr:rowOff>90487</xdr:rowOff>
    </xdr:from>
    <xdr:to>
      <xdr:col>9</xdr:col>
      <xdr:colOff>581025</xdr:colOff>
      <xdr:row>2080</xdr:row>
      <xdr:rowOff>28575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00000000-0008-0000-0100-00003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66675</xdr:colOff>
      <xdr:row>1283</xdr:row>
      <xdr:rowOff>90487</xdr:rowOff>
    </xdr:from>
    <xdr:to>
      <xdr:col>9</xdr:col>
      <xdr:colOff>581025</xdr:colOff>
      <xdr:row>1309</xdr:row>
      <xdr:rowOff>28575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00000000-0008-0000-0100-00003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F3986"/>
  <sheetViews>
    <sheetView zoomScale="90" zoomScaleNormal="90" workbookViewId="0">
      <pane ySplit="2" topLeftCell="A3" activePane="bottomLeft" state="frozen"/>
      <selection activeCell="BJ1733" sqref="BJ1733"/>
      <selection pane="bottomLeft" activeCell="A3" sqref="A3"/>
    </sheetView>
  </sheetViews>
  <sheetFormatPr defaultRowHeight="14.25" x14ac:dyDescent="0.2"/>
  <cols>
    <col min="1" max="1" width="13.75" style="57" bestFit="1" customWidth="1"/>
    <col min="3" max="3" width="11.875" style="195" bestFit="1" customWidth="1"/>
    <col min="4" max="4" width="9" style="55"/>
    <col min="5" max="5" width="11.375" style="55" bestFit="1" customWidth="1"/>
    <col min="6" max="6" width="9" style="55"/>
    <col min="7" max="7" width="20.5" style="55" bestFit="1" customWidth="1"/>
    <col min="8" max="8" width="25.375" style="50" bestFit="1" customWidth="1"/>
    <col min="9" max="9" width="15" style="46" customWidth="1"/>
    <col min="10" max="13" width="17.625" style="52" customWidth="1"/>
    <col min="14" max="15" width="17.625" style="1" customWidth="1"/>
    <col min="16" max="16" width="17.625" style="58" customWidth="1"/>
    <col min="17" max="19" width="17.625" style="1" customWidth="1"/>
    <col min="20" max="20" width="17.625" style="58" customWidth="1"/>
    <col min="21" max="28" width="17.625" style="1" customWidth="1"/>
    <col min="29" max="29" width="17.625" style="59" customWidth="1"/>
    <col min="30" max="32" width="17.625" style="1" customWidth="1"/>
    <col min="33" max="66" width="17.625" customWidth="1"/>
  </cols>
  <sheetData>
    <row r="1" spans="1:66" s="162" customFormat="1" ht="18.75" thickBot="1" x14ac:dyDescent="0.3">
      <c r="A1" s="121" t="s">
        <v>189</v>
      </c>
      <c r="B1" s="117"/>
      <c r="C1" s="196"/>
      <c r="D1" s="118"/>
      <c r="E1" s="118"/>
      <c r="F1" s="118"/>
      <c r="G1" s="119"/>
      <c r="H1" s="120"/>
      <c r="I1" s="120"/>
      <c r="J1" s="116">
        <v>2</v>
      </c>
      <c r="K1" s="116">
        <v>3</v>
      </c>
      <c r="L1" s="116">
        <v>4</v>
      </c>
      <c r="M1" s="116">
        <v>5</v>
      </c>
      <c r="N1" s="116">
        <v>6</v>
      </c>
      <c r="O1" s="116">
        <v>7</v>
      </c>
      <c r="P1" s="116">
        <v>8</v>
      </c>
      <c r="Q1" s="116">
        <v>11</v>
      </c>
      <c r="R1" s="116">
        <v>12</v>
      </c>
      <c r="S1" s="116">
        <v>9</v>
      </c>
      <c r="T1" s="116">
        <v>13</v>
      </c>
      <c r="U1" s="116">
        <v>15</v>
      </c>
      <c r="V1" s="116">
        <v>16</v>
      </c>
      <c r="W1" s="116">
        <v>14</v>
      </c>
      <c r="X1" s="116">
        <v>17</v>
      </c>
      <c r="Y1" s="116">
        <v>18</v>
      </c>
      <c r="Z1" s="116">
        <v>19</v>
      </c>
      <c r="AA1" s="116">
        <v>22</v>
      </c>
      <c r="AB1" s="116">
        <v>21</v>
      </c>
      <c r="AC1" s="116">
        <v>23</v>
      </c>
      <c r="AD1" s="116">
        <v>24</v>
      </c>
      <c r="AE1" s="116">
        <v>25</v>
      </c>
      <c r="AF1" s="116">
        <v>26</v>
      </c>
      <c r="AG1" s="116">
        <v>27</v>
      </c>
      <c r="AH1" s="116">
        <v>29</v>
      </c>
      <c r="AI1" s="116">
        <v>30</v>
      </c>
      <c r="AJ1" s="116">
        <v>31</v>
      </c>
      <c r="AK1" s="116">
        <v>32</v>
      </c>
      <c r="AL1" s="116">
        <v>33</v>
      </c>
      <c r="AM1" s="116">
        <v>34</v>
      </c>
      <c r="AN1" s="116">
        <v>35</v>
      </c>
      <c r="AO1" s="116">
        <v>36</v>
      </c>
      <c r="AP1" s="116">
        <v>37</v>
      </c>
      <c r="AQ1" s="116">
        <v>38</v>
      </c>
      <c r="AR1" s="116">
        <v>39</v>
      </c>
      <c r="AS1" s="116">
        <v>40</v>
      </c>
      <c r="AT1" s="116">
        <v>45</v>
      </c>
      <c r="AU1" s="116">
        <v>44</v>
      </c>
      <c r="AV1" s="116">
        <v>46</v>
      </c>
      <c r="AW1" s="116">
        <v>47</v>
      </c>
      <c r="AX1" s="116">
        <v>48</v>
      </c>
      <c r="AY1" s="116">
        <v>49</v>
      </c>
      <c r="AZ1" s="116">
        <v>50</v>
      </c>
      <c r="BA1" s="116">
        <v>53</v>
      </c>
      <c r="BB1" s="116">
        <v>54</v>
      </c>
      <c r="BC1" s="116">
        <v>55</v>
      </c>
      <c r="BD1" s="116">
        <v>56</v>
      </c>
      <c r="BE1" s="116">
        <v>57</v>
      </c>
      <c r="BF1" s="116">
        <v>58</v>
      </c>
      <c r="BG1" s="116">
        <v>59</v>
      </c>
      <c r="BH1" s="116">
        <v>60</v>
      </c>
      <c r="BI1" s="116">
        <v>61</v>
      </c>
      <c r="BJ1" s="116">
        <v>62</v>
      </c>
      <c r="BK1" s="116">
        <v>63</v>
      </c>
      <c r="BL1" s="116">
        <v>64</v>
      </c>
      <c r="BM1" s="116">
        <v>65</v>
      </c>
      <c r="BN1" s="116">
        <v>66</v>
      </c>
    </row>
    <row r="2" spans="1:66" s="2" customFormat="1" ht="157.5" thickBot="1" x14ac:dyDescent="0.25">
      <c r="A2" s="56" t="s">
        <v>2</v>
      </c>
      <c r="B2" s="6" t="s">
        <v>0</v>
      </c>
      <c r="C2" s="194" t="s">
        <v>184</v>
      </c>
      <c r="D2" s="54" t="s">
        <v>1</v>
      </c>
      <c r="E2" s="54" t="s">
        <v>40</v>
      </c>
      <c r="F2" s="54" t="s">
        <v>41</v>
      </c>
      <c r="G2" s="54" t="s">
        <v>42</v>
      </c>
      <c r="H2" s="51" t="s">
        <v>43</v>
      </c>
      <c r="I2" s="45" t="s">
        <v>44</v>
      </c>
      <c r="J2" s="53" t="s">
        <v>48</v>
      </c>
      <c r="K2" s="73" t="s">
        <v>49</v>
      </c>
      <c r="L2" s="73" t="s">
        <v>50</v>
      </c>
      <c r="M2" s="73" t="s">
        <v>51</v>
      </c>
      <c r="N2" s="3" t="s">
        <v>52</v>
      </c>
      <c r="O2" s="4" t="s">
        <v>53</v>
      </c>
      <c r="P2" s="72" t="s">
        <v>54</v>
      </c>
      <c r="Q2" s="4" t="s">
        <v>55</v>
      </c>
      <c r="R2" s="4" t="s">
        <v>56</v>
      </c>
      <c r="S2" s="5" t="s">
        <v>57</v>
      </c>
      <c r="T2" s="71" t="s">
        <v>58</v>
      </c>
      <c r="U2" s="5" t="s">
        <v>59</v>
      </c>
      <c r="V2" s="5" t="s">
        <v>60</v>
      </c>
      <c r="W2" s="70" t="s">
        <v>61</v>
      </c>
      <c r="X2" s="70" t="s">
        <v>62</v>
      </c>
      <c r="Y2" s="70" t="s">
        <v>63</v>
      </c>
      <c r="Z2" s="70" t="s">
        <v>64</v>
      </c>
      <c r="AA2" s="68" t="s">
        <v>65</v>
      </c>
      <c r="AB2" s="68" t="s">
        <v>66</v>
      </c>
      <c r="AC2" s="69" t="s">
        <v>67</v>
      </c>
      <c r="AD2" s="68" t="s">
        <v>68</v>
      </c>
      <c r="AE2" s="68" t="s">
        <v>69</v>
      </c>
      <c r="AF2" s="68" t="s">
        <v>70</v>
      </c>
      <c r="AG2" s="67" t="s">
        <v>71</v>
      </c>
      <c r="AH2" s="67" t="s">
        <v>143</v>
      </c>
      <c r="AI2" s="67" t="s">
        <v>72</v>
      </c>
      <c r="AJ2" s="67" t="s">
        <v>73</v>
      </c>
      <c r="AK2" s="67" t="s">
        <v>74</v>
      </c>
      <c r="AL2" s="67" t="s">
        <v>144</v>
      </c>
      <c r="AM2" s="65" t="s">
        <v>145</v>
      </c>
      <c r="AN2" s="65" t="s">
        <v>146</v>
      </c>
      <c r="AO2" s="65" t="s">
        <v>147</v>
      </c>
      <c r="AP2" s="65" t="s">
        <v>148</v>
      </c>
      <c r="AQ2" s="65" t="s">
        <v>149</v>
      </c>
      <c r="AR2" s="65" t="s">
        <v>150</v>
      </c>
      <c r="AS2" s="62" t="s">
        <v>151</v>
      </c>
      <c r="AT2" s="66" t="s">
        <v>152</v>
      </c>
      <c r="AU2" s="64" t="s">
        <v>153</v>
      </c>
      <c r="AV2" s="64" t="s">
        <v>75</v>
      </c>
      <c r="AW2" s="64" t="s">
        <v>76</v>
      </c>
      <c r="AX2" s="64" t="s">
        <v>77</v>
      </c>
      <c r="AY2" s="64" t="s">
        <v>78</v>
      </c>
      <c r="AZ2" s="63" t="s">
        <v>154</v>
      </c>
      <c r="BA2" s="63" t="s">
        <v>79</v>
      </c>
      <c r="BB2" s="63" t="s">
        <v>80</v>
      </c>
      <c r="BC2" s="63" t="s">
        <v>155</v>
      </c>
      <c r="BD2" s="63" t="s">
        <v>81</v>
      </c>
      <c r="BE2" s="61" t="s">
        <v>156</v>
      </c>
      <c r="BF2" s="61" t="s">
        <v>157</v>
      </c>
      <c r="BG2" s="61" t="s">
        <v>82</v>
      </c>
      <c r="BH2" s="61" t="s">
        <v>83</v>
      </c>
      <c r="BI2" s="61" t="s">
        <v>158</v>
      </c>
      <c r="BJ2" s="60" t="s">
        <v>159</v>
      </c>
      <c r="BK2" s="60" t="s">
        <v>84</v>
      </c>
      <c r="BL2" s="60" t="s">
        <v>85</v>
      </c>
      <c r="BM2" s="60" t="s">
        <v>86</v>
      </c>
      <c r="BN2" s="60" t="s">
        <v>87</v>
      </c>
    </row>
    <row r="3" spans="1:66" x14ac:dyDescent="0.2">
      <c r="C3" s="195">
        <v>44470</v>
      </c>
      <c r="D3" s="55">
        <v>260</v>
      </c>
      <c r="E3" s="55" t="s">
        <v>191</v>
      </c>
      <c r="F3" s="55" t="s">
        <v>192</v>
      </c>
      <c r="G3" s="55" t="s">
        <v>193</v>
      </c>
      <c r="H3" s="50" t="s">
        <v>194</v>
      </c>
    </row>
    <row r="4" spans="1:66" x14ac:dyDescent="0.2">
      <c r="C4" s="195">
        <v>44477</v>
      </c>
      <c r="D4" s="55">
        <v>280</v>
      </c>
      <c r="E4" s="55" t="s">
        <v>195</v>
      </c>
      <c r="F4" s="55" t="s">
        <v>196</v>
      </c>
      <c r="G4" s="55" t="s">
        <v>197</v>
      </c>
      <c r="H4" s="50" t="s">
        <v>198</v>
      </c>
    </row>
    <row r="5" spans="1:66" x14ac:dyDescent="0.2">
      <c r="C5" s="195">
        <v>44470</v>
      </c>
      <c r="D5" s="55">
        <v>260</v>
      </c>
      <c r="E5" s="55" t="s">
        <v>199</v>
      </c>
      <c r="F5" s="55" t="s">
        <v>192</v>
      </c>
      <c r="G5" s="55" t="s">
        <v>193</v>
      </c>
      <c r="H5" s="50" t="s">
        <v>200</v>
      </c>
    </row>
    <row r="6" spans="1:66" x14ac:dyDescent="0.2">
      <c r="C6" s="195">
        <v>44470</v>
      </c>
      <c r="D6" s="55">
        <v>260</v>
      </c>
      <c r="E6" s="55" t="s">
        <v>201</v>
      </c>
      <c r="F6" s="55" t="s">
        <v>202</v>
      </c>
      <c r="G6" s="55" t="s">
        <v>203</v>
      </c>
      <c r="H6" s="50" t="s">
        <v>204</v>
      </c>
    </row>
    <row r="7" spans="1:66" x14ac:dyDescent="0.2">
      <c r="C7" s="195">
        <v>44474</v>
      </c>
      <c r="D7" s="55">
        <v>260</v>
      </c>
      <c r="E7" s="55" t="s">
        <v>205</v>
      </c>
      <c r="F7" s="55" t="s">
        <v>206</v>
      </c>
      <c r="G7" s="55" t="s">
        <v>207</v>
      </c>
      <c r="H7" s="50" t="s">
        <v>208</v>
      </c>
    </row>
    <row r="8" spans="1:66" x14ac:dyDescent="0.2">
      <c r="C8" s="195">
        <v>44477</v>
      </c>
      <c r="D8" s="55">
        <v>260</v>
      </c>
      <c r="E8" s="55" t="s">
        <v>209</v>
      </c>
      <c r="F8" s="55" t="s">
        <v>210</v>
      </c>
      <c r="G8" s="55" t="s">
        <v>211</v>
      </c>
      <c r="H8" s="50" t="s">
        <v>212</v>
      </c>
    </row>
    <row r="9" spans="1:66" x14ac:dyDescent="0.2">
      <c r="C9" s="195">
        <v>44477</v>
      </c>
      <c r="D9" s="55">
        <v>280</v>
      </c>
      <c r="E9" s="55" t="s">
        <v>213</v>
      </c>
      <c r="F9" s="55" t="s">
        <v>206</v>
      </c>
      <c r="G9" s="55" t="s">
        <v>214</v>
      </c>
      <c r="H9" s="50" t="s">
        <v>215</v>
      </c>
    </row>
    <row r="10" spans="1:66" x14ac:dyDescent="0.2">
      <c r="C10" s="195">
        <v>44474</v>
      </c>
      <c r="D10" s="55">
        <v>260</v>
      </c>
      <c r="E10" s="55" t="s">
        <v>216</v>
      </c>
      <c r="F10" s="55" t="s">
        <v>206</v>
      </c>
      <c r="G10" s="55" t="s">
        <v>207</v>
      </c>
      <c r="H10" s="50" t="s">
        <v>217</v>
      </c>
    </row>
    <row r="11" spans="1:66" x14ac:dyDescent="0.2">
      <c r="C11" s="195">
        <v>44475</v>
      </c>
      <c r="D11" s="55">
        <v>260</v>
      </c>
      <c r="E11" s="55" t="s">
        <v>218</v>
      </c>
      <c r="F11" s="55" t="s">
        <v>219</v>
      </c>
      <c r="G11" s="55" t="s">
        <v>220</v>
      </c>
      <c r="H11" s="50" t="s">
        <v>221</v>
      </c>
    </row>
    <row r="12" spans="1:66" x14ac:dyDescent="0.2">
      <c r="C12" s="195">
        <v>44475</v>
      </c>
      <c r="D12" s="55">
        <v>260</v>
      </c>
      <c r="E12" s="55" t="s">
        <v>222</v>
      </c>
      <c r="F12" s="55" t="s">
        <v>219</v>
      </c>
      <c r="G12" s="55" t="s">
        <v>223</v>
      </c>
      <c r="H12" s="50" t="s">
        <v>224</v>
      </c>
    </row>
    <row r="13" spans="1:66" x14ac:dyDescent="0.2">
      <c r="C13" s="195">
        <v>44477</v>
      </c>
      <c r="D13" s="55">
        <v>280</v>
      </c>
      <c r="E13" s="55" t="s">
        <v>225</v>
      </c>
      <c r="F13" s="55" t="s">
        <v>206</v>
      </c>
      <c r="G13" s="55" t="s">
        <v>214</v>
      </c>
      <c r="H13" s="50" t="s">
        <v>226</v>
      </c>
    </row>
    <row r="14" spans="1:66" x14ac:dyDescent="0.2">
      <c r="C14" s="195">
        <v>44491</v>
      </c>
      <c r="D14" s="55">
        <v>280</v>
      </c>
      <c r="E14" s="55" t="s">
        <v>227</v>
      </c>
      <c r="F14" s="55" t="s">
        <v>206</v>
      </c>
      <c r="G14" s="55" t="s">
        <v>228</v>
      </c>
      <c r="H14" s="50" t="s">
        <v>229</v>
      </c>
    </row>
    <row r="15" spans="1:66" x14ac:dyDescent="0.2">
      <c r="C15" s="195">
        <v>44473</v>
      </c>
      <c r="D15" s="55">
        <v>260</v>
      </c>
      <c r="E15" s="55" t="s">
        <v>230</v>
      </c>
      <c r="F15" s="55" t="s">
        <v>231</v>
      </c>
      <c r="G15" s="55" t="s">
        <v>232</v>
      </c>
      <c r="H15" s="50" t="s">
        <v>233</v>
      </c>
    </row>
    <row r="16" spans="1:66" x14ac:dyDescent="0.2">
      <c r="C16" s="195">
        <v>44484</v>
      </c>
      <c r="D16" s="55">
        <v>280</v>
      </c>
      <c r="E16" s="55" t="s">
        <v>234</v>
      </c>
      <c r="F16" s="55" t="s">
        <v>210</v>
      </c>
      <c r="G16" s="55" t="s">
        <v>235</v>
      </c>
      <c r="H16" s="50" t="s">
        <v>236</v>
      </c>
    </row>
    <row r="17" spans="1:62" x14ac:dyDescent="0.2">
      <c r="C17" s="195">
        <v>44498</v>
      </c>
      <c r="D17" s="55">
        <v>280</v>
      </c>
      <c r="E17" s="55" t="s">
        <v>237</v>
      </c>
      <c r="F17" s="55" t="s">
        <v>219</v>
      </c>
      <c r="G17" s="55" t="s">
        <v>223</v>
      </c>
      <c r="H17" s="50" t="s">
        <v>238</v>
      </c>
    </row>
    <row r="18" spans="1:62" x14ac:dyDescent="0.2">
      <c r="C18" s="195">
        <v>44470</v>
      </c>
      <c r="D18" s="55">
        <v>260</v>
      </c>
      <c r="E18" s="55" t="s">
        <v>239</v>
      </c>
      <c r="F18" s="55" t="s">
        <v>231</v>
      </c>
      <c r="G18" s="55" t="s">
        <v>232</v>
      </c>
      <c r="H18" s="50" t="s">
        <v>240</v>
      </c>
    </row>
    <row r="19" spans="1:62" x14ac:dyDescent="0.2">
      <c r="A19" s="57">
        <v>1021</v>
      </c>
      <c r="B19" t="s">
        <v>836</v>
      </c>
      <c r="C19" s="195">
        <v>44475</v>
      </c>
      <c r="D19" s="55">
        <v>260</v>
      </c>
      <c r="E19" s="55" t="s">
        <v>241</v>
      </c>
      <c r="F19" s="55" t="s">
        <v>219</v>
      </c>
      <c r="G19" s="55" t="s">
        <v>223</v>
      </c>
      <c r="H19" s="50" t="s">
        <v>242</v>
      </c>
      <c r="I19" s="46" t="s">
        <v>839</v>
      </c>
      <c r="J19" s="52">
        <v>1</v>
      </c>
      <c r="K19" s="52">
        <v>1</v>
      </c>
      <c r="O19" s="1">
        <v>1</v>
      </c>
      <c r="S19" s="1">
        <v>1</v>
      </c>
      <c r="W19" s="1">
        <v>1</v>
      </c>
      <c r="AA19" s="1">
        <v>1</v>
      </c>
      <c r="AG19">
        <v>2</v>
      </c>
      <c r="AM19">
        <v>4</v>
      </c>
      <c r="AS19">
        <v>5</v>
      </c>
      <c r="AT19">
        <v>1</v>
      </c>
      <c r="AU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J19">
        <v>1</v>
      </c>
    </row>
    <row r="20" spans="1:62" x14ac:dyDescent="0.2">
      <c r="C20" s="195">
        <v>44470</v>
      </c>
      <c r="D20" s="55">
        <v>260</v>
      </c>
      <c r="E20" s="55" t="s">
        <v>243</v>
      </c>
      <c r="F20" s="55" t="s">
        <v>244</v>
      </c>
      <c r="G20" s="55" t="s">
        <v>245</v>
      </c>
      <c r="H20" s="50" t="s">
        <v>246</v>
      </c>
    </row>
    <row r="21" spans="1:62" x14ac:dyDescent="0.2">
      <c r="A21" s="57">
        <v>1021</v>
      </c>
      <c r="B21" t="s">
        <v>838</v>
      </c>
      <c r="C21" s="195">
        <v>44477</v>
      </c>
      <c r="D21" s="55">
        <v>280</v>
      </c>
      <c r="E21" s="55" t="s">
        <v>247</v>
      </c>
      <c r="F21" s="55" t="s">
        <v>206</v>
      </c>
      <c r="G21" s="55" t="s">
        <v>214</v>
      </c>
      <c r="H21" s="50" t="s">
        <v>224</v>
      </c>
      <c r="I21" s="46" t="s">
        <v>837</v>
      </c>
    </row>
    <row r="22" spans="1:62" x14ac:dyDescent="0.2">
      <c r="C22" s="195">
        <v>44475</v>
      </c>
      <c r="D22" s="55">
        <v>260</v>
      </c>
      <c r="E22" s="55" t="s">
        <v>248</v>
      </c>
      <c r="F22" s="55" t="s">
        <v>219</v>
      </c>
      <c r="G22" s="55" t="s">
        <v>249</v>
      </c>
      <c r="H22" s="50" t="s">
        <v>250</v>
      </c>
    </row>
    <row r="23" spans="1:62" x14ac:dyDescent="0.2">
      <c r="C23" s="195">
        <v>44477</v>
      </c>
      <c r="D23" s="55">
        <v>280</v>
      </c>
      <c r="E23" s="55" t="s">
        <v>251</v>
      </c>
      <c r="F23" s="55" t="s">
        <v>206</v>
      </c>
      <c r="G23" s="55" t="s">
        <v>214</v>
      </c>
      <c r="H23" s="50" t="s">
        <v>224</v>
      </c>
    </row>
    <row r="24" spans="1:62" x14ac:dyDescent="0.2">
      <c r="C24" s="195">
        <v>44475</v>
      </c>
      <c r="D24" s="55">
        <v>260</v>
      </c>
      <c r="E24" s="55" t="s">
        <v>252</v>
      </c>
      <c r="F24" s="55" t="s">
        <v>219</v>
      </c>
      <c r="G24" s="55" t="s">
        <v>223</v>
      </c>
      <c r="H24" s="50" t="s">
        <v>253</v>
      </c>
    </row>
    <row r="25" spans="1:62" x14ac:dyDescent="0.2">
      <c r="C25" s="195">
        <v>44470</v>
      </c>
      <c r="D25" s="55">
        <v>260</v>
      </c>
      <c r="E25" s="55" t="s">
        <v>254</v>
      </c>
      <c r="F25" s="55" t="s">
        <v>231</v>
      </c>
      <c r="G25" s="55" t="s">
        <v>255</v>
      </c>
      <c r="H25" s="50" t="s">
        <v>256</v>
      </c>
    </row>
    <row r="26" spans="1:62" x14ac:dyDescent="0.2">
      <c r="A26" s="57">
        <v>1021</v>
      </c>
      <c r="B26" t="s">
        <v>836</v>
      </c>
      <c r="C26" s="195">
        <v>44487</v>
      </c>
      <c r="D26" s="55">
        <v>260</v>
      </c>
      <c r="E26" s="55" t="s">
        <v>257</v>
      </c>
      <c r="F26" s="55" t="s">
        <v>192</v>
      </c>
      <c r="G26" s="55" t="s">
        <v>258</v>
      </c>
      <c r="H26" s="50" t="s">
        <v>224</v>
      </c>
      <c r="I26" s="46" t="s">
        <v>837</v>
      </c>
    </row>
    <row r="27" spans="1:62" x14ac:dyDescent="0.2">
      <c r="C27" s="195">
        <v>44477</v>
      </c>
      <c r="D27" s="55">
        <v>260</v>
      </c>
      <c r="E27" s="55" t="s">
        <v>259</v>
      </c>
      <c r="F27" s="55" t="s">
        <v>244</v>
      </c>
      <c r="G27" s="55" t="s">
        <v>260</v>
      </c>
      <c r="H27" s="50" t="s">
        <v>261</v>
      </c>
    </row>
    <row r="28" spans="1:62" x14ac:dyDescent="0.2">
      <c r="C28" s="195">
        <v>44470</v>
      </c>
      <c r="D28" s="55">
        <v>260</v>
      </c>
      <c r="E28" s="55" t="s">
        <v>262</v>
      </c>
      <c r="F28" s="55" t="s">
        <v>263</v>
      </c>
      <c r="G28" s="55" t="s">
        <v>264</v>
      </c>
      <c r="H28" s="50" t="s">
        <v>265</v>
      </c>
    </row>
    <row r="29" spans="1:62" x14ac:dyDescent="0.2">
      <c r="C29" s="195">
        <v>44473</v>
      </c>
      <c r="D29" s="55">
        <v>280</v>
      </c>
      <c r="E29" s="55" t="s">
        <v>266</v>
      </c>
      <c r="F29" s="55" t="s">
        <v>267</v>
      </c>
      <c r="G29" s="55" t="s">
        <v>268</v>
      </c>
      <c r="H29" s="50" t="s">
        <v>224</v>
      </c>
    </row>
    <row r="30" spans="1:62" x14ac:dyDescent="0.2">
      <c r="C30" s="195">
        <v>44487</v>
      </c>
      <c r="D30" s="55">
        <v>260</v>
      </c>
      <c r="E30" s="55" t="s">
        <v>269</v>
      </c>
      <c r="F30" s="55" t="s">
        <v>192</v>
      </c>
      <c r="G30" s="55" t="s">
        <v>258</v>
      </c>
      <c r="H30" s="50" t="s">
        <v>270</v>
      </c>
    </row>
    <row r="31" spans="1:62" x14ac:dyDescent="0.2">
      <c r="C31" s="195">
        <v>44481</v>
      </c>
      <c r="D31" s="55">
        <v>280</v>
      </c>
      <c r="E31" s="55" t="s">
        <v>271</v>
      </c>
      <c r="F31" s="55" t="s">
        <v>272</v>
      </c>
      <c r="G31" s="55" t="s">
        <v>273</v>
      </c>
      <c r="H31" s="50" t="s">
        <v>274</v>
      </c>
    </row>
    <row r="32" spans="1:62" x14ac:dyDescent="0.2">
      <c r="C32" s="195">
        <v>44476</v>
      </c>
      <c r="D32" s="55">
        <v>260</v>
      </c>
      <c r="E32" s="55" t="s">
        <v>275</v>
      </c>
      <c r="F32" s="55" t="s">
        <v>202</v>
      </c>
      <c r="G32" s="55" t="s">
        <v>276</v>
      </c>
      <c r="H32" s="50" t="s">
        <v>277</v>
      </c>
    </row>
    <row r="33" spans="1:62" x14ac:dyDescent="0.2">
      <c r="C33" s="195">
        <v>44470</v>
      </c>
      <c r="D33" s="55">
        <v>260</v>
      </c>
      <c r="E33" s="55" t="s">
        <v>278</v>
      </c>
      <c r="F33" s="55" t="s">
        <v>202</v>
      </c>
      <c r="G33" s="55" t="s">
        <v>203</v>
      </c>
      <c r="H33" s="50" t="s">
        <v>279</v>
      </c>
    </row>
    <row r="34" spans="1:62" x14ac:dyDescent="0.2">
      <c r="C34" s="195">
        <v>44476</v>
      </c>
      <c r="D34" s="55">
        <v>260</v>
      </c>
      <c r="E34" s="55" t="s">
        <v>280</v>
      </c>
      <c r="F34" s="55" t="s">
        <v>202</v>
      </c>
      <c r="G34" s="55" t="s">
        <v>276</v>
      </c>
      <c r="H34" s="50" t="s">
        <v>281</v>
      </c>
    </row>
    <row r="35" spans="1:62" x14ac:dyDescent="0.2">
      <c r="C35" s="195">
        <v>44475</v>
      </c>
      <c r="D35" s="55">
        <v>260</v>
      </c>
      <c r="E35" s="55" t="s">
        <v>282</v>
      </c>
      <c r="F35" s="55" t="s">
        <v>202</v>
      </c>
      <c r="G35" s="55" t="s">
        <v>203</v>
      </c>
      <c r="H35" s="50" t="s">
        <v>283</v>
      </c>
    </row>
    <row r="36" spans="1:62" x14ac:dyDescent="0.2">
      <c r="C36" s="195">
        <v>44474</v>
      </c>
      <c r="D36" s="55">
        <v>260</v>
      </c>
      <c r="E36" s="55" t="s">
        <v>284</v>
      </c>
      <c r="F36" s="55" t="s">
        <v>206</v>
      </c>
      <c r="G36" s="55" t="s">
        <v>207</v>
      </c>
      <c r="H36" s="50" t="s">
        <v>285</v>
      </c>
    </row>
    <row r="37" spans="1:62" x14ac:dyDescent="0.2">
      <c r="C37" s="195">
        <v>44476</v>
      </c>
      <c r="D37" s="55">
        <v>260</v>
      </c>
      <c r="E37" s="55" t="s">
        <v>286</v>
      </c>
      <c r="F37" s="55" t="s">
        <v>202</v>
      </c>
      <c r="G37" s="55" t="s">
        <v>276</v>
      </c>
      <c r="H37" s="50" t="s">
        <v>287</v>
      </c>
    </row>
    <row r="38" spans="1:62" x14ac:dyDescent="0.2">
      <c r="C38" s="195">
        <v>44476</v>
      </c>
      <c r="D38" s="55">
        <v>260</v>
      </c>
      <c r="E38" s="55" t="s">
        <v>288</v>
      </c>
      <c r="F38" s="55" t="s">
        <v>202</v>
      </c>
      <c r="G38" s="55" t="s">
        <v>276</v>
      </c>
      <c r="H38" s="50" t="s">
        <v>289</v>
      </c>
    </row>
    <row r="39" spans="1:62" x14ac:dyDescent="0.2">
      <c r="C39" s="195">
        <v>44470</v>
      </c>
      <c r="D39" s="55">
        <v>260</v>
      </c>
      <c r="E39" s="55" t="s">
        <v>290</v>
      </c>
      <c r="F39" s="55" t="s">
        <v>291</v>
      </c>
      <c r="G39" s="55" t="s">
        <v>292</v>
      </c>
    </row>
    <row r="40" spans="1:62" x14ac:dyDescent="0.2">
      <c r="C40" s="195">
        <v>44470</v>
      </c>
      <c r="D40" s="55">
        <v>260</v>
      </c>
      <c r="E40" s="55" t="s">
        <v>293</v>
      </c>
      <c r="F40" s="55" t="s">
        <v>244</v>
      </c>
      <c r="G40" s="55" t="s">
        <v>294</v>
      </c>
      <c r="H40" s="50" t="s">
        <v>295</v>
      </c>
    </row>
    <row r="41" spans="1:62" x14ac:dyDescent="0.2">
      <c r="C41" s="195">
        <v>44470</v>
      </c>
      <c r="D41" s="55">
        <v>260</v>
      </c>
      <c r="E41" s="55" t="s">
        <v>296</v>
      </c>
      <c r="F41" s="55" t="s">
        <v>202</v>
      </c>
      <c r="G41" s="55" t="s">
        <v>297</v>
      </c>
      <c r="H41" s="50" t="s">
        <v>298</v>
      </c>
    </row>
    <row r="42" spans="1:62" x14ac:dyDescent="0.2">
      <c r="C42" s="195">
        <v>44470</v>
      </c>
      <c r="D42" s="55">
        <v>260</v>
      </c>
      <c r="E42" s="55" t="s">
        <v>299</v>
      </c>
      <c r="F42" s="55" t="s">
        <v>291</v>
      </c>
      <c r="G42" s="55" t="s">
        <v>292</v>
      </c>
      <c r="H42" s="50" t="s">
        <v>300</v>
      </c>
    </row>
    <row r="43" spans="1:62" x14ac:dyDescent="0.2">
      <c r="C43" s="195">
        <v>44470</v>
      </c>
      <c r="D43" s="55">
        <v>260</v>
      </c>
      <c r="E43" s="55" t="s">
        <v>301</v>
      </c>
      <c r="F43" s="55" t="s">
        <v>202</v>
      </c>
      <c r="G43" s="55" t="s">
        <v>302</v>
      </c>
      <c r="H43" s="50" t="s">
        <v>303</v>
      </c>
    </row>
    <row r="44" spans="1:62" x14ac:dyDescent="0.2">
      <c r="A44" s="57">
        <v>1021</v>
      </c>
      <c r="B44" s="162" t="s">
        <v>836</v>
      </c>
      <c r="C44" s="195">
        <v>44470</v>
      </c>
      <c r="D44" s="55">
        <v>260</v>
      </c>
      <c r="E44" s="55" t="s">
        <v>304</v>
      </c>
      <c r="F44" s="55" t="s">
        <v>202</v>
      </c>
      <c r="G44" s="55" t="s">
        <v>297</v>
      </c>
      <c r="H44" s="50" t="s">
        <v>224</v>
      </c>
      <c r="I44" s="46" t="s">
        <v>839</v>
      </c>
      <c r="J44" s="52">
        <v>1</v>
      </c>
      <c r="K44" s="52">
        <v>1</v>
      </c>
      <c r="O44" s="1">
        <v>1</v>
      </c>
      <c r="S44" s="1">
        <v>1</v>
      </c>
      <c r="W44" s="1">
        <v>1</v>
      </c>
      <c r="AA44" s="1">
        <v>1</v>
      </c>
      <c r="AG44">
        <v>1</v>
      </c>
      <c r="AM44">
        <v>1</v>
      </c>
      <c r="AN44">
        <v>4</v>
      </c>
      <c r="AO44">
        <v>4</v>
      </c>
      <c r="AP44">
        <v>4</v>
      </c>
      <c r="AQ44">
        <v>4</v>
      </c>
      <c r="AR44">
        <v>4</v>
      </c>
      <c r="AS44">
        <v>5</v>
      </c>
      <c r="AT44">
        <v>5</v>
      </c>
      <c r="AU44">
        <v>5</v>
      </c>
      <c r="AZ44">
        <v>5</v>
      </c>
      <c r="BA44">
        <v>4</v>
      </c>
      <c r="BB44">
        <v>4</v>
      </c>
      <c r="BC44">
        <v>4</v>
      </c>
      <c r="BD44">
        <v>4</v>
      </c>
      <c r="BE44">
        <v>5</v>
      </c>
      <c r="BJ44">
        <v>5</v>
      </c>
    </row>
    <row r="45" spans="1:62" x14ac:dyDescent="0.2">
      <c r="C45" s="195">
        <v>44477</v>
      </c>
      <c r="D45" s="55">
        <v>280</v>
      </c>
      <c r="E45" s="55" t="s">
        <v>305</v>
      </c>
      <c r="F45" s="55" t="s">
        <v>210</v>
      </c>
      <c r="G45" s="55" t="s">
        <v>306</v>
      </c>
      <c r="H45" s="50" t="s">
        <v>307</v>
      </c>
    </row>
    <row r="46" spans="1:62" x14ac:dyDescent="0.2">
      <c r="C46" s="195">
        <v>44476</v>
      </c>
      <c r="D46" s="55">
        <v>260</v>
      </c>
      <c r="E46" s="55" t="s">
        <v>308</v>
      </c>
      <c r="F46" s="55" t="s">
        <v>202</v>
      </c>
      <c r="G46" s="55" t="s">
        <v>276</v>
      </c>
      <c r="H46" s="50" t="s">
        <v>309</v>
      </c>
    </row>
    <row r="47" spans="1:62" x14ac:dyDescent="0.2">
      <c r="C47" s="195">
        <v>44470</v>
      </c>
      <c r="D47" s="55">
        <v>260</v>
      </c>
      <c r="E47" s="55" t="s">
        <v>310</v>
      </c>
      <c r="F47" s="55" t="s">
        <v>244</v>
      </c>
      <c r="G47" s="55" t="s">
        <v>245</v>
      </c>
      <c r="H47" s="50" t="s">
        <v>311</v>
      </c>
    </row>
    <row r="48" spans="1:62" x14ac:dyDescent="0.2">
      <c r="C48" s="195">
        <v>44470</v>
      </c>
      <c r="D48" s="55">
        <v>260</v>
      </c>
      <c r="E48" s="55" t="s">
        <v>312</v>
      </c>
      <c r="F48" s="55" t="s">
        <v>202</v>
      </c>
      <c r="G48" s="55" t="s">
        <v>203</v>
      </c>
      <c r="H48" s="50" t="s">
        <v>313</v>
      </c>
    </row>
    <row r="49" spans="1:9" x14ac:dyDescent="0.2">
      <c r="C49" s="195">
        <v>44470</v>
      </c>
      <c r="D49" s="55">
        <v>280</v>
      </c>
      <c r="E49" s="55" t="s">
        <v>314</v>
      </c>
      <c r="F49" s="55" t="s">
        <v>244</v>
      </c>
      <c r="G49" s="55" t="s">
        <v>315</v>
      </c>
      <c r="H49" s="50" t="s">
        <v>224</v>
      </c>
    </row>
    <row r="50" spans="1:9" x14ac:dyDescent="0.2">
      <c r="C50" s="195">
        <v>44470</v>
      </c>
      <c r="D50" s="55">
        <v>260</v>
      </c>
      <c r="E50" s="55" t="s">
        <v>316</v>
      </c>
      <c r="F50" s="55" t="s">
        <v>291</v>
      </c>
      <c r="G50" s="55" t="s">
        <v>292</v>
      </c>
      <c r="H50" s="50" t="s">
        <v>317</v>
      </c>
    </row>
    <row r="51" spans="1:9" x14ac:dyDescent="0.2">
      <c r="A51" s="57">
        <v>1021</v>
      </c>
      <c r="B51" t="s">
        <v>836</v>
      </c>
      <c r="C51" s="195">
        <v>44476</v>
      </c>
      <c r="D51" s="55">
        <v>260</v>
      </c>
      <c r="E51" s="55" t="s">
        <v>318</v>
      </c>
      <c r="F51" s="55" t="s">
        <v>202</v>
      </c>
      <c r="G51" s="55" t="s">
        <v>276</v>
      </c>
      <c r="H51" s="50" t="s">
        <v>319</v>
      </c>
      <c r="I51" s="46" t="s">
        <v>837</v>
      </c>
    </row>
    <row r="52" spans="1:9" x14ac:dyDescent="0.2">
      <c r="C52" s="195">
        <v>44470</v>
      </c>
      <c r="D52" s="55">
        <v>260</v>
      </c>
      <c r="E52" s="55" t="s">
        <v>320</v>
      </c>
      <c r="F52" s="55" t="s">
        <v>202</v>
      </c>
      <c r="G52" s="55" t="s">
        <v>321</v>
      </c>
      <c r="H52" s="50" t="s">
        <v>322</v>
      </c>
    </row>
    <row r="53" spans="1:9" x14ac:dyDescent="0.2">
      <c r="C53" s="195">
        <v>44477</v>
      </c>
      <c r="D53" s="55">
        <v>260</v>
      </c>
      <c r="E53" s="55" t="s">
        <v>323</v>
      </c>
      <c r="F53" s="55" t="s">
        <v>192</v>
      </c>
      <c r="G53" s="55" t="s">
        <v>324</v>
      </c>
      <c r="H53" s="50" t="s">
        <v>325</v>
      </c>
    </row>
    <row r="54" spans="1:9" x14ac:dyDescent="0.2">
      <c r="C54" s="195">
        <v>44470</v>
      </c>
      <c r="D54" s="55">
        <v>260</v>
      </c>
      <c r="E54" s="55" t="s">
        <v>326</v>
      </c>
      <c r="F54" s="55" t="s">
        <v>291</v>
      </c>
      <c r="G54" s="55" t="s">
        <v>292</v>
      </c>
      <c r="H54" s="50" t="s">
        <v>327</v>
      </c>
    </row>
    <row r="55" spans="1:9" x14ac:dyDescent="0.2">
      <c r="C55" s="195">
        <v>44470</v>
      </c>
      <c r="D55" s="55">
        <v>260</v>
      </c>
      <c r="E55" s="55" t="s">
        <v>328</v>
      </c>
      <c r="F55" s="55" t="s">
        <v>291</v>
      </c>
      <c r="G55" s="55" t="s">
        <v>292</v>
      </c>
      <c r="H55" s="50" t="s">
        <v>329</v>
      </c>
    </row>
    <row r="56" spans="1:9" x14ac:dyDescent="0.2">
      <c r="C56" s="195">
        <v>44473</v>
      </c>
      <c r="D56" s="55">
        <v>260</v>
      </c>
      <c r="E56" s="55" t="s">
        <v>330</v>
      </c>
      <c r="F56" s="55" t="s">
        <v>267</v>
      </c>
      <c r="G56" s="55" t="s">
        <v>331</v>
      </c>
      <c r="H56" s="50" t="s">
        <v>332</v>
      </c>
    </row>
    <row r="57" spans="1:9" x14ac:dyDescent="0.2">
      <c r="C57" s="195">
        <v>44473</v>
      </c>
      <c r="D57" s="55">
        <v>260</v>
      </c>
      <c r="E57" s="55" t="s">
        <v>333</v>
      </c>
      <c r="F57" s="55" t="s">
        <v>267</v>
      </c>
      <c r="G57" s="55" t="s">
        <v>331</v>
      </c>
    </row>
    <row r="58" spans="1:9" x14ac:dyDescent="0.2">
      <c r="C58" s="195">
        <v>44470</v>
      </c>
      <c r="D58" s="55">
        <v>260</v>
      </c>
      <c r="E58" s="55" t="s">
        <v>334</v>
      </c>
      <c r="F58" s="55" t="s">
        <v>291</v>
      </c>
      <c r="G58" s="55" t="s">
        <v>292</v>
      </c>
      <c r="H58" s="50" t="s">
        <v>335</v>
      </c>
    </row>
    <row r="59" spans="1:9" x14ac:dyDescent="0.2">
      <c r="C59" s="195">
        <v>44470</v>
      </c>
      <c r="D59" s="55">
        <v>260</v>
      </c>
      <c r="E59" s="55" t="s">
        <v>336</v>
      </c>
      <c r="F59" s="55" t="s">
        <v>202</v>
      </c>
      <c r="G59" s="55" t="s">
        <v>321</v>
      </c>
      <c r="H59" s="50" t="s">
        <v>224</v>
      </c>
    </row>
    <row r="60" spans="1:9" x14ac:dyDescent="0.2">
      <c r="C60" s="195">
        <v>44470</v>
      </c>
      <c r="D60" s="55">
        <v>280</v>
      </c>
      <c r="E60" s="55" t="s">
        <v>337</v>
      </c>
      <c r="F60" s="55" t="s">
        <v>206</v>
      </c>
      <c r="G60" s="55" t="s">
        <v>338</v>
      </c>
      <c r="H60" s="50" t="s">
        <v>339</v>
      </c>
    </row>
    <row r="61" spans="1:9" x14ac:dyDescent="0.2">
      <c r="C61" s="195">
        <v>44477</v>
      </c>
      <c r="D61" s="55">
        <v>260</v>
      </c>
      <c r="E61" s="55" t="s">
        <v>340</v>
      </c>
      <c r="F61" s="55" t="s">
        <v>202</v>
      </c>
      <c r="G61" s="55" t="s">
        <v>341</v>
      </c>
      <c r="H61" s="50" t="s">
        <v>342</v>
      </c>
    </row>
    <row r="62" spans="1:9" x14ac:dyDescent="0.2">
      <c r="C62" s="195">
        <v>44474</v>
      </c>
      <c r="D62" s="55">
        <v>260</v>
      </c>
      <c r="E62" s="55" t="s">
        <v>343</v>
      </c>
      <c r="F62" s="55" t="s">
        <v>202</v>
      </c>
      <c r="G62" s="55" t="s">
        <v>344</v>
      </c>
      <c r="H62" s="50" t="s">
        <v>345</v>
      </c>
    </row>
    <row r="63" spans="1:9" x14ac:dyDescent="0.2">
      <c r="C63" s="195">
        <v>44470</v>
      </c>
      <c r="D63" s="55">
        <v>260</v>
      </c>
      <c r="E63" s="55" t="s">
        <v>346</v>
      </c>
      <c r="F63" s="55" t="s">
        <v>202</v>
      </c>
      <c r="G63" s="55" t="s">
        <v>321</v>
      </c>
      <c r="H63" s="50" t="s">
        <v>347</v>
      </c>
    </row>
    <row r="64" spans="1:9" x14ac:dyDescent="0.2">
      <c r="C64" s="195">
        <v>44473</v>
      </c>
      <c r="D64" s="55">
        <v>260</v>
      </c>
      <c r="E64" s="55" t="s">
        <v>348</v>
      </c>
      <c r="F64" s="55" t="s">
        <v>196</v>
      </c>
      <c r="G64" s="55" t="s">
        <v>349</v>
      </c>
      <c r="H64" s="50" t="s">
        <v>350</v>
      </c>
    </row>
    <row r="65" spans="1:62" x14ac:dyDescent="0.2">
      <c r="C65" s="195">
        <v>44473</v>
      </c>
      <c r="D65" s="55">
        <v>280</v>
      </c>
      <c r="E65" s="55" t="s">
        <v>351</v>
      </c>
      <c r="F65" s="55" t="s">
        <v>196</v>
      </c>
      <c r="G65" s="55" t="s">
        <v>352</v>
      </c>
      <c r="H65" s="50" t="s">
        <v>353</v>
      </c>
    </row>
    <row r="66" spans="1:62" x14ac:dyDescent="0.2">
      <c r="C66" s="195">
        <v>44470</v>
      </c>
      <c r="D66" s="55">
        <v>260</v>
      </c>
      <c r="E66" s="55" t="s">
        <v>354</v>
      </c>
      <c r="F66" s="55" t="s">
        <v>192</v>
      </c>
      <c r="G66" s="55" t="s">
        <v>193</v>
      </c>
      <c r="H66" s="50" t="s">
        <v>355</v>
      </c>
    </row>
    <row r="67" spans="1:62" x14ac:dyDescent="0.2">
      <c r="C67" s="195">
        <v>44473</v>
      </c>
      <c r="D67" s="55">
        <v>260</v>
      </c>
      <c r="E67" s="55" t="s">
        <v>356</v>
      </c>
      <c r="F67" s="55" t="s">
        <v>267</v>
      </c>
      <c r="G67" s="55" t="s">
        <v>357</v>
      </c>
      <c r="H67" s="50" t="s">
        <v>224</v>
      </c>
    </row>
    <row r="68" spans="1:62" x14ac:dyDescent="0.2">
      <c r="C68" s="195">
        <v>44473</v>
      </c>
      <c r="D68" s="55">
        <v>260</v>
      </c>
      <c r="E68" s="55" t="s">
        <v>358</v>
      </c>
      <c r="F68" s="55" t="s">
        <v>196</v>
      </c>
      <c r="G68" s="55" t="s">
        <v>352</v>
      </c>
      <c r="H68" s="50" t="s">
        <v>359</v>
      </c>
    </row>
    <row r="69" spans="1:62" x14ac:dyDescent="0.2">
      <c r="C69" s="195">
        <v>44473</v>
      </c>
      <c r="D69" s="55">
        <v>260</v>
      </c>
      <c r="E69" s="55" t="s">
        <v>360</v>
      </c>
      <c r="F69" s="55" t="s">
        <v>196</v>
      </c>
      <c r="G69" s="55" t="s">
        <v>361</v>
      </c>
      <c r="H69" s="50" t="s">
        <v>362</v>
      </c>
    </row>
    <row r="70" spans="1:62" x14ac:dyDescent="0.2">
      <c r="C70" s="195">
        <v>44473</v>
      </c>
      <c r="D70" s="55">
        <v>260</v>
      </c>
      <c r="E70" s="55" t="s">
        <v>363</v>
      </c>
      <c r="F70" s="55" t="s">
        <v>219</v>
      </c>
      <c r="G70" s="55" t="s">
        <v>220</v>
      </c>
      <c r="H70" s="50" t="s">
        <v>364</v>
      </c>
    </row>
    <row r="71" spans="1:62" x14ac:dyDescent="0.2">
      <c r="C71" s="195">
        <v>44470</v>
      </c>
      <c r="D71" s="55">
        <v>280</v>
      </c>
      <c r="E71" s="55" t="s">
        <v>365</v>
      </c>
      <c r="F71" s="55" t="s">
        <v>272</v>
      </c>
      <c r="G71" s="55" t="s">
        <v>366</v>
      </c>
      <c r="H71" s="50" t="s">
        <v>367</v>
      </c>
    </row>
    <row r="72" spans="1:62" x14ac:dyDescent="0.2">
      <c r="C72" s="195">
        <v>44481</v>
      </c>
      <c r="D72" s="55">
        <v>260</v>
      </c>
      <c r="E72" s="55" t="s">
        <v>368</v>
      </c>
      <c r="F72" s="55" t="s">
        <v>267</v>
      </c>
      <c r="G72" s="55" t="s">
        <v>268</v>
      </c>
      <c r="H72" s="50" t="s">
        <v>369</v>
      </c>
    </row>
    <row r="73" spans="1:62" x14ac:dyDescent="0.2">
      <c r="C73" s="195">
        <v>44470</v>
      </c>
      <c r="D73" s="55">
        <v>280</v>
      </c>
      <c r="E73" s="55" t="s">
        <v>370</v>
      </c>
      <c r="F73" s="55" t="s">
        <v>231</v>
      </c>
      <c r="G73" s="55" t="s">
        <v>371</v>
      </c>
      <c r="H73" s="50" t="s">
        <v>372</v>
      </c>
    </row>
    <row r="74" spans="1:62" x14ac:dyDescent="0.2">
      <c r="C74" s="195">
        <v>44470</v>
      </c>
      <c r="D74" s="55">
        <v>280</v>
      </c>
      <c r="E74" s="55" t="s">
        <v>373</v>
      </c>
      <c r="F74" s="55" t="s">
        <v>196</v>
      </c>
      <c r="G74" s="55" t="s">
        <v>361</v>
      </c>
      <c r="H74" s="50" t="s">
        <v>374</v>
      </c>
    </row>
    <row r="75" spans="1:62" x14ac:dyDescent="0.2">
      <c r="C75" s="195">
        <v>44489</v>
      </c>
      <c r="D75" s="55">
        <v>280</v>
      </c>
      <c r="E75" s="55" t="s">
        <v>375</v>
      </c>
      <c r="F75" s="55" t="s">
        <v>244</v>
      </c>
      <c r="G75" s="55" t="s">
        <v>245</v>
      </c>
      <c r="H75" s="50" t="s">
        <v>376</v>
      </c>
    </row>
    <row r="76" spans="1:62" x14ac:dyDescent="0.2">
      <c r="C76" s="195">
        <v>44474</v>
      </c>
      <c r="D76" s="55">
        <v>280</v>
      </c>
      <c r="E76" s="55" t="s">
        <v>377</v>
      </c>
      <c r="F76" s="55" t="s">
        <v>244</v>
      </c>
      <c r="G76" s="55" t="s">
        <v>378</v>
      </c>
      <c r="H76" s="50" t="s">
        <v>379</v>
      </c>
    </row>
    <row r="77" spans="1:62" x14ac:dyDescent="0.2">
      <c r="C77" s="195">
        <v>44474</v>
      </c>
      <c r="D77" s="55">
        <v>280</v>
      </c>
      <c r="E77" s="55" t="s">
        <v>380</v>
      </c>
      <c r="F77" s="55" t="s">
        <v>206</v>
      </c>
      <c r="G77" s="55" t="s">
        <v>228</v>
      </c>
      <c r="H77" s="50" t="s">
        <v>381</v>
      </c>
    </row>
    <row r="78" spans="1:62" x14ac:dyDescent="0.2">
      <c r="A78" s="57">
        <v>1021</v>
      </c>
      <c r="B78" s="162" t="s">
        <v>836</v>
      </c>
      <c r="C78" s="195">
        <v>44476</v>
      </c>
      <c r="D78" s="55">
        <v>260</v>
      </c>
      <c r="E78" s="55" t="s">
        <v>382</v>
      </c>
      <c r="F78" s="55" t="s">
        <v>210</v>
      </c>
      <c r="G78" s="55" t="s">
        <v>383</v>
      </c>
      <c r="H78" s="50" t="s">
        <v>224</v>
      </c>
      <c r="I78" s="46" t="s">
        <v>839</v>
      </c>
      <c r="J78" s="52">
        <v>1</v>
      </c>
      <c r="K78" s="52">
        <v>1</v>
      </c>
      <c r="O78" s="1">
        <v>1</v>
      </c>
      <c r="S78" s="1">
        <v>1</v>
      </c>
      <c r="W78" s="1">
        <v>1</v>
      </c>
      <c r="AA78" s="1">
        <v>1</v>
      </c>
      <c r="AG78">
        <v>1</v>
      </c>
      <c r="AM78">
        <v>4</v>
      </c>
      <c r="AS78">
        <v>4</v>
      </c>
      <c r="AT78">
        <v>1</v>
      </c>
      <c r="AU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J78">
        <v>1</v>
      </c>
    </row>
    <row r="79" spans="1:62" x14ac:dyDescent="0.2">
      <c r="C79" s="195">
        <v>44473</v>
      </c>
      <c r="D79" s="55">
        <v>280</v>
      </c>
      <c r="E79" s="55" t="s">
        <v>384</v>
      </c>
      <c r="F79" s="55" t="s">
        <v>231</v>
      </c>
      <c r="G79" s="55" t="s">
        <v>255</v>
      </c>
      <c r="H79" s="50" t="s">
        <v>385</v>
      </c>
    </row>
    <row r="80" spans="1:62" x14ac:dyDescent="0.2">
      <c r="C80" s="195">
        <v>44473</v>
      </c>
      <c r="D80" s="55">
        <v>280</v>
      </c>
      <c r="E80" s="55" t="s">
        <v>386</v>
      </c>
      <c r="F80" s="55" t="s">
        <v>231</v>
      </c>
      <c r="G80" s="55" t="s">
        <v>387</v>
      </c>
      <c r="H80" s="50" t="s">
        <v>388</v>
      </c>
    </row>
    <row r="81" spans="1:9" x14ac:dyDescent="0.2">
      <c r="C81" s="195">
        <v>44473</v>
      </c>
      <c r="D81" s="55">
        <v>280</v>
      </c>
      <c r="E81" s="55" t="s">
        <v>389</v>
      </c>
      <c r="F81" s="55" t="s">
        <v>390</v>
      </c>
      <c r="G81" s="55" t="s">
        <v>391</v>
      </c>
      <c r="H81" s="50" t="s">
        <v>224</v>
      </c>
    </row>
    <row r="82" spans="1:9" x14ac:dyDescent="0.2">
      <c r="C82" s="195">
        <v>44477</v>
      </c>
      <c r="D82" s="55">
        <v>280</v>
      </c>
      <c r="E82" s="55" t="s">
        <v>392</v>
      </c>
      <c r="F82" s="55" t="s">
        <v>244</v>
      </c>
      <c r="G82" s="55" t="s">
        <v>393</v>
      </c>
      <c r="H82" s="50" t="s">
        <v>394</v>
      </c>
    </row>
    <row r="83" spans="1:9" x14ac:dyDescent="0.2">
      <c r="C83" s="195">
        <v>44474</v>
      </c>
      <c r="D83" s="55">
        <v>280</v>
      </c>
      <c r="E83" s="55" t="s">
        <v>395</v>
      </c>
      <c r="F83" s="55" t="s">
        <v>267</v>
      </c>
      <c r="G83" s="55" t="s">
        <v>331</v>
      </c>
      <c r="H83" s="50" t="s">
        <v>396</v>
      </c>
    </row>
    <row r="84" spans="1:9" x14ac:dyDescent="0.2">
      <c r="A84" s="57">
        <v>1021</v>
      </c>
      <c r="B84" t="s">
        <v>836</v>
      </c>
      <c r="C84" s="195">
        <v>44476</v>
      </c>
      <c r="D84" s="55">
        <v>280</v>
      </c>
      <c r="E84" s="55" t="s">
        <v>397</v>
      </c>
      <c r="F84" s="55" t="s">
        <v>219</v>
      </c>
      <c r="G84" s="55" t="s">
        <v>249</v>
      </c>
      <c r="H84" s="50" t="s">
        <v>224</v>
      </c>
      <c r="I84" s="46" t="s">
        <v>837</v>
      </c>
    </row>
    <row r="85" spans="1:9" x14ac:dyDescent="0.2">
      <c r="C85" s="195">
        <v>44491</v>
      </c>
      <c r="D85" s="55">
        <v>280</v>
      </c>
      <c r="E85" s="55" t="s">
        <v>398</v>
      </c>
      <c r="F85" s="55" t="s">
        <v>210</v>
      </c>
      <c r="G85" s="55" t="s">
        <v>211</v>
      </c>
      <c r="H85" s="50" t="s">
        <v>399</v>
      </c>
    </row>
    <row r="86" spans="1:9" x14ac:dyDescent="0.2">
      <c r="C86" s="195">
        <v>44476</v>
      </c>
      <c r="D86" s="55">
        <v>280</v>
      </c>
      <c r="E86" s="55" t="s">
        <v>400</v>
      </c>
      <c r="F86" s="55" t="s">
        <v>192</v>
      </c>
      <c r="G86" s="55" t="s">
        <v>401</v>
      </c>
      <c r="H86" s="50" t="s">
        <v>402</v>
      </c>
    </row>
    <row r="87" spans="1:9" x14ac:dyDescent="0.2">
      <c r="C87" s="195">
        <v>44476</v>
      </c>
      <c r="D87" s="55">
        <v>280</v>
      </c>
      <c r="E87" s="55" t="s">
        <v>403</v>
      </c>
      <c r="F87" s="55" t="s">
        <v>192</v>
      </c>
      <c r="G87" s="55" t="s">
        <v>401</v>
      </c>
      <c r="H87" s="50" t="s">
        <v>404</v>
      </c>
    </row>
    <row r="88" spans="1:9" x14ac:dyDescent="0.2">
      <c r="C88" s="195">
        <v>44474</v>
      </c>
      <c r="D88" s="55">
        <v>280</v>
      </c>
      <c r="E88" s="55" t="s">
        <v>405</v>
      </c>
      <c r="F88" s="55" t="s">
        <v>210</v>
      </c>
      <c r="G88" s="55" t="s">
        <v>406</v>
      </c>
      <c r="H88" s="50" t="s">
        <v>224</v>
      </c>
    </row>
    <row r="89" spans="1:9" x14ac:dyDescent="0.2">
      <c r="C89" s="195">
        <v>44474</v>
      </c>
      <c r="D89" s="55">
        <v>280</v>
      </c>
      <c r="E89" s="55" t="s">
        <v>407</v>
      </c>
      <c r="F89" s="55" t="s">
        <v>390</v>
      </c>
      <c r="G89" s="55" t="s">
        <v>408</v>
      </c>
      <c r="H89" s="50" t="s">
        <v>409</v>
      </c>
    </row>
    <row r="90" spans="1:9" x14ac:dyDescent="0.2">
      <c r="C90" s="195">
        <v>44474</v>
      </c>
      <c r="D90" s="55">
        <v>280</v>
      </c>
      <c r="E90" s="55" t="s">
        <v>410</v>
      </c>
      <c r="F90" s="55" t="s">
        <v>390</v>
      </c>
      <c r="G90" s="55" t="s">
        <v>408</v>
      </c>
      <c r="H90" s="50" t="s">
        <v>411</v>
      </c>
    </row>
    <row r="91" spans="1:9" x14ac:dyDescent="0.2">
      <c r="C91" s="195">
        <v>44474</v>
      </c>
      <c r="D91" s="55">
        <v>260</v>
      </c>
      <c r="E91" s="55" t="s">
        <v>412</v>
      </c>
      <c r="F91" s="55" t="s">
        <v>263</v>
      </c>
      <c r="G91" s="55" t="s">
        <v>413</v>
      </c>
    </row>
    <row r="92" spans="1:9" x14ac:dyDescent="0.2">
      <c r="C92" s="195">
        <v>44476</v>
      </c>
      <c r="D92" s="55">
        <v>280</v>
      </c>
      <c r="E92" s="55" t="s">
        <v>414</v>
      </c>
      <c r="F92" s="55" t="s">
        <v>196</v>
      </c>
      <c r="G92" s="55" t="s">
        <v>415</v>
      </c>
      <c r="H92" s="50" t="s">
        <v>416</v>
      </c>
    </row>
    <row r="93" spans="1:9" x14ac:dyDescent="0.2">
      <c r="C93" s="195">
        <v>44477</v>
      </c>
      <c r="D93" s="55">
        <v>280</v>
      </c>
      <c r="E93" s="55" t="s">
        <v>417</v>
      </c>
      <c r="F93" s="55" t="s">
        <v>210</v>
      </c>
      <c r="G93" s="55" t="s">
        <v>418</v>
      </c>
      <c r="H93" s="50" t="s">
        <v>419</v>
      </c>
    </row>
    <row r="94" spans="1:9" x14ac:dyDescent="0.2">
      <c r="C94" s="195">
        <v>44474</v>
      </c>
      <c r="D94" s="55">
        <v>280</v>
      </c>
      <c r="E94" s="55" t="s">
        <v>420</v>
      </c>
      <c r="F94" s="55" t="s">
        <v>231</v>
      </c>
      <c r="G94" s="55" t="s">
        <v>421</v>
      </c>
      <c r="H94" s="50" t="s">
        <v>422</v>
      </c>
    </row>
    <row r="95" spans="1:9" x14ac:dyDescent="0.2">
      <c r="C95" s="195">
        <v>44474</v>
      </c>
      <c r="D95" s="55">
        <v>280</v>
      </c>
      <c r="E95" s="55" t="s">
        <v>423</v>
      </c>
      <c r="F95" s="55" t="s">
        <v>390</v>
      </c>
      <c r="G95" s="55" t="s">
        <v>408</v>
      </c>
      <c r="H95" s="50" t="s">
        <v>424</v>
      </c>
    </row>
    <row r="96" spans="1:9" x14ac:dyDescent="0.2">
      <c r="C96" s="195">
        <v>44475</v>
      </c>
      <c r="D96" s="55">
        <v>260</v>
      </c>
      <c r="E96" s="55" t="s">
        <v>425</v>
      </c>
      <c r="F96" s="55" t="s">
        <v>263</v>
      </c>
      <c r="G96" s="55" t="s">
        <v>426</v>
      </c>
      <c r="H96" s="50" t="s">
        <v>427</v>
      </c>
    </row>
    <row r="97" spans="1:62" x14ac:dyDescent="0.2">
      <c r="C97" s="195">
        <v>44475</v>
      </c>
      <c r="D97" s="55">
        <v>260</v>
      </c>
      <c r="E97" s="55" t="s">
        <v>428</v>
      </c>
      <c r="F97" s="55" t="s">
        <v>219</v>
      </c>
      <c r="G97" s="55" t="s">
        <v>220</v>
      </c>
      <c r="H97" s="50" t="s">
        <v>429</v>
      </c>
    </row>
    <row r="98" spans="1:62" x14ac:dyDescent="0.2">
      <c r="C98" s="195">
        <v>44476</v>
      </c>
      <c r="D98" s="55">
        <v>260</v>
      </c>
      <c r="E98" s="55" t="s">
        <v>430</v>
      </c>
      <c r="F98" s="55" t="s">
        <v>202</v>
      </c>
      <c r="G98" s="55" t="s">
        <v>276</v>
      </c>
      <c r="H98" s="50" t="s">
        <v>431</v>
      </c>
    </row>
    <row r="99" spans="1:62" x14ac:dyDescent="0.2">
      <c r="C99" s="195">
        <v>44475</v>
      </c>
      <c r="D99" s="55">
        <v>260</v>
      </c>
      <c r="E99" s="55" t="s">
        <v>432</v>
      </c>
      <c r="F99" s="55" t="s">
        <v>219</v>
      </c>
      <c r="G99" s="55" t="s">
        <v>220</v>
      </c>
      <c r="H99" s="50" t="s">
        <v>433</v>
      </c>
    </row>
    <row r="100" spans="1:62" x14ac:dyDescent="0.2">
      <c r="C100" s="195">
        <v>44475</v>
      </c>
      <c r="D100" s="55">
        <v>260</v>
      </c>
      <c r="E100" s="55" t="s">
        <v>434</v>
      </c>
      <c r="F100" s="55" t="s">
        <v>231</v>
      </c>
      <c r="G100" s="55" t="s">
        <v>435</v>
      </c>
      <c r="H100" s="50" t="s">
        <v>436</v>
      </c>
    </row>
    <row r="101" spans="1:62" x14ac:dyDescent="0.2">
      <c r="C101" s="195">
        <v>44475</v>
      </c>
      <c r="D101" s="55">
        <v>280</v>
      </c>
      <c r="E101" s="55" t="s">
        <v>437</v>
      </c>
      <c r="F101" s="55" t="s">
        <v>263</v>
      </c>
      <c r="G101" s="55" t="s">
        <v>426</v>
      </c>
      <c r="H101" s="50" t="s">
        <v>438</v>
      </c>
    </row>
    <row r="102" spans="1:62" x14ac:dyDescent="0.2">
      <c r="C102" s="195">
        <v>44475</v>
      </c>
      <c r="D102" s="55">
        <v>280</v>
      </c>
      <c r="E102" s="55" t="s">
        <v>439</v>
      </c>
      <c r="F102" s="55" t="s">
        <v>263</v>
      </c>
      <c r="G102" s="55" t="s">
        <v>426</v>
      </c>
      <c r="H102" s="50" t="s">
        <v>440</v>
      </c>
    </row>
    <row r="103" spans="1:62" x14ac:dyDescent="0.2">
      <c r="C103" s="195">
        <v>44475</v>
      </c>
      <c r="D103" s="55">
        <v>260</v>
      </c>
      <c r="E103" s="55" t="s">
        <v>441</v>
      </c>
      <c r="F103" s="55" t="s">
        <v>267</v>
      </c>
      <c r="G103" s="55" t="s">
        <v>442</v>
      </c>
      <c r="H103" s="50" t="s">
        <v>224</v>
      </c>
    </row>
    <row r="104" spans="1:62" x14ac:dyDescent="0.2">
      <c r="C104" s="195">
        <v>44488</v>
      </c>
      <c r="D104" s="55">
        <v>280</v>
      </c>
      <c r="E104" s="55" t="s">
        <v>443</v>
      </c>
      <c r="F104" s="55" t="s">
        <v>202</v>
      </c>
      <c r="G104" s="55" t="s">
        <v>203</v>
      </c>
      <c r="H104" s="50" t="s">
        <v>444</v>
      </c>
    </row>
    <row r="105" spans="1:62" x14ac:dyDescent="0.2">
      <c r="C105" s="195">
        <v>44490</v>
      </c>
      <c r="D105" s="55">
        <v>280</v>
      </c>
      <c r="E105" s="55" t="s">
        <v>445</v>
      </c>
      <c r="F105" s="55" t="s">
        <v>244</v>
      </c>
      <c r="G105" s="55" t="s">
        <v>245</v>
      </c>
      <c r="H105" s="50" t="s">
        <v>446</v>
      </c>
    </row>
    <row r="106" spans="1:62" x14ac:dyDescent="0.2">
      <c r="A106" s="57">
        <v>1021</v>
      </c>
      <c r="B106" s="162" t="s">
        <v>836</v>
      </c>
      <c r="C106" s="195">
        <v>44476</v>
      </c>
      <c r="D106" s="55">
        <v>260</v>
      </c>
      <c r="E106" s="55" t="s">
        <v>447</v>
      </c>
      <c r="F106" s="55" t="s">
        <v>210</v>
      </c>
      <c r="G106" s="55" t="s">
        <v>383</v>
      </c>
      <c r="I106" s="46" t="s">
        <v>839</v>
      </c>
      <c r="J106" s="52">
        <v>2</v>
      </c>
      <c r="K106" s="52">
        <v>1</v>
      </c>
      <c r="O106" s="1">
        <v>2</v>
      </c>
      <c r="S106" s="1">
        <v>1</v>
      </c>
      <c r="W106" s="1">
        <v>4</v>
      </c>
      <c r="X106" s="1">
        <v>1</v>
      </c>
      <c r="Y106" s="1">
        <v>1</v>
      </c>
      <c r="Z106" s="1">
        <v>1</v>
      </c>
      <c r="AA106" s="1">
        <v>2</v>
      </c>
      <c r="AG106">
        <v>2</v>
      </c>
      <c r="AM106">
        <v>1</v>
      </c>
      <c r="AN106">
        <v>1</v>
      </c>
      <c r="AO106">
        <v>2</v>
      </c>
      <c r="AP106">
        <v>2</v>
      </c>
      <c r="AQ106">
        <v>2</v>
      </c>
      <c r="AR106">
        <v>2</v>
      </c>
      <c r="AS106">
        <v>3</v>
      </c>
      <c r="AT106">
        <v>1</v>
      </c>
      <c r="AU106">
        <v>2</v>
      </c>
      <c r="AZ106">
        <v>1</v>
      </c>
      <c r="BA106">
        <v>2</v>
      </c>
      <c r="BB106">
        <v>1</v>
      </c>
      <c r="BC106">
        <v>2</v>
      </c>
      <c r="BD106">
        <v>1</v>
      </c>
      <c r="BE106">
        <v>1</v>
      </c>
      <c r="BJ106">
        <v>2</v>
      </c>
    </row>
    <row r="107" spans="1:62" x14ac:dyDescent="0.2">
      <c r="C107" s="195">
        <v>44476</v>
      </c>
      <c r="D107" s="55">
        <v>280</v>
      </c>
      <c r="E107" s="55" t="s">
        <v>448</v>
      </c>
      <c r="F107" s="55" t="s">
        <v>196</v>
      </c>
      <c r="G107" s="55" t="s">
        <v>415</v>
      </c>
      <c r="H107" s="50" t="s">
        <v>449</v>
      </c>
    </row>
    <row r="108" spans="1:62" x14ac:dyDescent="0.2">
      <c r="C108" s="195">
        <v>44488</v>
      </c>
      <c r="D108" s="55">
        <v>260</v>
      </c>
      <c r="E108" s="55" t="s">
        <v>450</v>
      </c>
      <c r="F108" s="55" t="s">
        <v>219</v>
      </c>
      <c r="G108" s="55" t="s">
        <v>451</v>
      </c>
      <c r="H108" s="50" t="s">
        <v>224</v>
      </c>
    </row>
    <row r="109" spans="1:62" x14ac:dyDescent="0.2">
      <c r="C109" s="195">
        <v>44477</v>
      </c>
      <c r="D109" s="55">
        <v>260</v>
      </c>
      <c r="E109" s="55" t="s">
        <v>452</v>
      </c>
      <c r="F109" s="55" t="s">
        <v>192</v>
      </c>
      <c r="G109" s="55" t="s">
        <v>453</v>
      </c>
      <c r="H109" s="50" t="s">
        <v>454</v>
      </c>
    </row>
    <row r="110" spans="1:62" x14ac:dyDescent="0.2">
      <c r="C110" s="195">
        <v>44477</v>
      </c>
      <c r="D110" s="55">
        <v>260</v>
      </c>
      <c r="E110" s="55" t="s">
        <v>455</v>
      </c>
      <c r="F110" s="55" t="s">
        <v>192</v>
      </c>
      <c r="G110" s="55" t="s">
        <v>453</v>
      </c>
      <c r="H110" s="50" t="s">
        <v>456</v>
      </c>
    </row>
    <row r="111" spans="1:62" x14ac:dyDescent="0.2">
      <c r="C111" s="195">
        <v>44476</v>
      </c>
      <c r="D111" s="55">
        <v>280</v>
      </c>
      <c r="E111" s="55" t="s">
        <v>457</v>
      </c>
      <c r="F111" s="55" t="s">
        <v>231</v>
      </c>
      <c r="G111" s="55" t="s">
        <v>371</v>
      </c>
      <c r="H111" s="50" t="s">
        <v>458</v>
      </c>
    </row>
    <row r="112" spans="1:62" x14ac:dyDescent="0.2">
      <c r="C112" s="195">
        <v>44476</v>
      </c>
      <c r="D112" s="55">
        <v>260</v>
      </c>
      <c r="E112" s="55" t="s">
        <v>459</v>
      </c>
      <c r="F112" s="55" t="s">
        <v>210</v>
      </c>
      <c r="G112" s="55" t="s">
        <v>406</v>
      </c>
      <c r="H112" s="50" t="s">
        <v>460</v>
      </c>
    </row>
    <row r="113" spans="1:62" x14ac:dyDescent="0.2">
      <c r="C113" s="195">
        <v>44477</v>
      </c>
      <c r="D113" s="55">
        <v>260</v>
      </c>
      <c r="E113" s="55" t="s">
        <v>461</v>
      </c>
      <c r="F113" s="55" t="s">
        <v>192</v>
      </c>
      <c r="G113" s="55" t="s">
        <v>453</v>
      </c>
      <c r="H113" s="50" t="s">
        <v>462</v>
      </c>
    </row>
    <row r="114" spans="1:62" x14ac:dyDescent="0.2">
      <c r="A114" s="57">
        <v>1021</v>
      </c>
      <c r="B114" s="162" t="s">
        <v>836</v>
      </c>
      <c r="C114" s="195">
        <v>44476</v>
      </c>
      <c r="D114" s="55">
        <v>260</v>
      </c>
      <c r="E114" s="55" t="s">
        <v>463</v>
      </c>
      <c r="F114" s="55" t="s">
        <v>196</v>
      </c>
      <c r="G114" s="55" t="s">
        <v>464</v>
      </c>
      <c r="H114" s="50" t="s">
        <v>224</v>
      </c>
      <c r="I114" s="46" t="s">
        <v>839</v>
      </c>
      <c r="J114" s="52">
        <v>1</v>
      </c>
      <c r="K114" s="52">
        <v>1</v>
      </c>
      <c r="O114" s="1">
        <v>1</v>
      </c>
      <c r="S114" s="1">
        <v>1</v>
      </c>
      <c r="W114" s="1">
        <v>1</v>
      </c>
      <c r="AA114" s="1">
        <v>1</v>
      </c>
      <c r="AG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J114">
        <v>1</v>
      </c>
    </row>
    <row r="115" spans="1:62" x14ac:dyDescent="0.2">
      <c r="C115" s="195">
        <v>44476</v>
      </c>
      <c r="D115" s="55">
        <v>260</v>
      </c>
      <c r="E115" s="55" t="s">
        <v>465</v>
      </c>
      <c r="F115" s="55" t="s">
        <v>291</v>
      </c>
      <c r="G115" s="55" t="s">
        <v>466</v>
      </c>
      <c r="H115" s="50" t="s">
        <v>224</v>
      </c>
    </row>
    <row r="116" spans="1:62" x14ac:dyDescent="0.2">
      <c r="C116" s="195">
        <v>44477</v>
      </c>
      <c r="D116" s="55">
        <v>260</v>
      </c>
      <c r="E116" s="55" t="s">
        <v>467</v>
      </c>
      <c r="F116" s="55" t="s">
        <v>192</v>
      </c>
      <c r="G116" s="55" t="s">
        <v>453</v>
      </c>
      <c r="H116" s="50" t="s">
        <v>468</v>
      </c>
    </row>
    <row r="117" spans="1:62" x14ac:dyDescent="0.2">
      <c r="C117" s="195">
        <v>44476</v>
      </c>
      <c r="D117" s="55">
        <v>280</v>
      </c>
      <c r="E117" s="55" t="s">
        <v>469</v>
      </c>
      <c r="F117" s="55" t="s">
        <v>210</v>
      </c>
      <c r="G117" s="55" t="s">
        <v>470</v>
      </c>
      <c r="H117" s="50" t="s">
        <v>471</v>
      </c>
    </row>
    <row r="118" spans="1:62" x14ac:dyDescent="0.2">
      <c r="C118" s="195">
        <v>44476</v>
      </c>
      <c r="D118" s="55">
        <v>260</v>
      </c>
      <c r="E118" s="55" t="s">
        <v>472</v>
      </c>
      <c r="F118" s="55" t="s">
        <v>196</v>
      </c>
      <c r="G118" s="55" t="s">
        <v>464</v>
      </c>
      <c r="H118" s="50" t="s">
        <v>473</v>
      </c>
    </row>
    <row r="119" spans="1:62" x14ac:dyDescent="0.2">
      <c r="C119" s="195">
        <v>44476</v>
      </c>
      <c r="D119" s="55">
        <v>280</v>
      </c>
      <c r="E119" s="55" t="s">
        <v>474</v>
      </c>
      <c r="F119" s="55" t="s">
        <v>390</v>
      </c>
      <c r="G119" s="55" t="s">
        <v>391</v>
      </c>
      <c r="H119" s="50" t="s">
        <v>475</v>
      </c>
    </row>
    <row r="120" spans="1:62" x14ac:dyDescent="0.2">
      <c r="C120" s="195">
        <v>44476</v>
      </c>
      <c r="D120" s="55">
        <v>280</v>
      </c>
      <c r="E120" s="55" t="s">
        <v>476</v>
      </c>
      <c r="F120" s="55" t="s">
        <v>291</v>
      </c>
      <c r="G120" s="55" t="s">
        <v>292</v>
      </c>
      <c r="H120" s="50" t="s">
        <v>224</v>
      </c>
    </row>
    <row r="121" spans="1:62" x14ac:dyDescent="0.2">
      <c r="C121" s="195">
        <v>44488</v>
      </c>
      <c r="D121" s="55">
        <v>280</v>
      </c>
      <c r="E121" s="55" t="s">
        <v>477</v>
      </c>
      <c r="F121" s="55" t="s">
        <v>219</v>
      </c>
      <c r="G121" s="55" t="s">
        <v>220</v>
      </c>
      <c r="H121" s="50" t="s">
        <v>478</v>
      </c>
    </row>
    <row r="122" spans="1:62" x14ac:dyDescent="0.2">
      <c r="C122" s="195">
        <v>44476</v>
      </c>
      <c r="D122" s="55">
        <v>280</v>
      </c>
      <c r="E122" s="55" t="s">
        <v>479</v>
      </c>
      <c r="F122" s="55" t="s">
        <v>291</v>
      </c>
      <c r="G122" s="55" t="s">
        <v>480</v>
      </c>
      <c r="H122" s="50" t="s">
        <v>224</v>
      </c>
    </row>
    <row r="123" spans="1:62" x14ac:dyDescent="0.2">
      <c r="C123" s="195">
        <v>44477</v>
      </c>
      <c r="D123" s="55">
        <v>280</v>
      </c>
      <c r="E123" s="55" t="s">
        <v>481</v>
      </c>
      <c r="F123" s="55" t="s">
        <v>231</v>
      </c>
      <c r="G123" s="55" t="s">
        <v>482</v>
      </c>
      <c r="H123" s="50" t="s">
        <v>483</v>
      </c>
    </row>
    <row r="124" spans="1:62" x14ac:dyDescent="0.2">
      <c r="C124" s="195">
        <v>44477</v>
      </c>
      <c r="D124" s="55">
        <v>280</v>
      </c>
      <c r="E124" s="55" t="s">
        <v>484</v>
      </c>
      <c r="F124" s="55" t="s">
        <v>202</v>
      </c>
      <c r="G124" s="55" t="s">
        <v>341</v>
      </c>
      <c r="H124" s="50" t="s">
        <v>485</v>
      </c>
    </row>
    <row r="125" spans="1:62" x14ac:dyDescent="0.2">
      <c r="C125" s="195">
        <v>44477</v>
      </c>
      <c r="D125" s="55">
        <v>260</v>
      </c>
      <c r="E125" s="55" t="s">
        <v>486</v>
      </c>
      <c r="F125" s="55" t="s">
        <v>192</v>
      </c>
      <c r="G125" s="55" t="s">
        <v>487</v>
      </c>
      <c r="H125" s="50" t="s">
        <v>488</v>
      </c>
    </row>
    <row r="126" spans="1:62" x14ac:dyDescent="0.2">
      <c r="C126" s="195">
        <v>44481</v>
      </c>
      <c r="D126" s="55">
        <v>280</v>
      </c>
      <c r="E126" s="55" t="s">
        <v>489</v>
      </c>
      <c r="F126" s="55" t="s">
        <v>390</v>
      </c>
      <c r="G126" s="55" t="s">
        <v>490</v>
      </c>
      <c r="H126" s="50" t="s">
        <v>224</v>
      </c>
    </row>
    <row r="127" spans="1:62" x14ac:dyDescent="0.2">
      <c r="C127" s="195">
        <v>44491</v>
      </c>
      <c r="D127" s="55">
        <v>280</v>
      </c>
      <c r="E127" s="55" t="s">
        <v>491</v>
      </c>
      <c r="F127" s="55" t="s">
        <v>202</v>
      </c>
      <c r="G127" s="55" t="s">
        <v>203</v>
      </c>
      <c r="H127" s="50" t="s">
        <v>492</v>
      </c>
    </row>
    <row r="128" spans="1:62" x14ac:dyDescent="0.2">
      <c r="C128" s="195">
        <v>44477</v>
      </c>
      <c r="D128" s="55">
        <v>280</v>
      </c>
      <c r="E128" s="55" t="s">
        <v>493</v>
      </c>
      <c r="F128" s="55" t="s">
        <v>244</v>
      </c>
      <c r="G128" s="55" t="s">
        <v>393</v>
      </c>
      <c r="H128" s="50" t="s">
        <v>494</v>
      </c>
    </row>
    <row r="129" spans="3:8" x14ac:dyDescent="0.2">
      <c r="C129" s="195">
        <v>44477</v>
      </c>
      <c r="D129" s="55">
        <v>280</v>
      </c>
      <c r="E129" s="55" t="s">
        <v>495</v>
      </c>
      <c r="F129" s="55" t="s">
        <v>210</v>
      </c>
      <c r="G129" s="55" t="s">
        <v>496</v>
      </c>
    </row>
    <row r="130" spans="3:8" x14ac:dyDescent="0.2">
      <c r="C130" s="195">
        <v>44482</v>
      </c>
      <c r="D130" s="55">
        <v>260</v>
      </c>
      <c r="E130" s="55" t="s">
        <v>497</v>
      </c>
      <c r="F130" s="55" t="s">
        <v>196</v>
      </c>
      <c r="G130" s="55" t="s">
        <v>498</v>
      </c>
      <c r="H130" s="50" t="s">
        <v>499</v>
      </c>
    </row>
    <row r="131" spans="3:8" x14ac:dyDescent="0.2">
      <c r="C131" s="195">
        <v>44482</v>
      </c>
      <c r="D131" s="55">
        <v>260</v>
      </c>
      <c r="E131" s="55" t="s">
        <v>500</v>
      </c>
      <c r="F131" s="55" t="s">
        <v>231</v>
      </c>
      <c r="G131" s="55" t="s">
        <v>387</v>
      </c>
      <c r="H131" s="50" t="s">
        <v>501</v>
      </c>
    </row>
    <row r="132" spans="3:8" x14ac:dyDescent="0.2">
      <c r="C132" s="195">
        <v>44482</v>
      </c>
      <c r="D132" s="55">
        <v>260</v>
      </c>
      <c r="E132" s="55" t="s">
        <v>502</v>
      </c>
      <c r="F132" s="55" t="s">
        <v>196</v>
      </c>
      <c r="G132" s="55" t="s">
        <v>415</v>
      </c>
      <c r="H132" s="50" t="s">
        <v>503</v>
      </c>
    </row>
    <row r="133" spans="3:8" x14ac:dyDescent="0.2">
      <c r="C133" s="195">
        <v>44480</v>
      </c>
      <c r="D133" s="55">
        <v>280</v>
      </c>
      <c r="E133" s="55" t="s">
        <v>504</v>
      </c>
      <c r="F133" s="55" t="s">
        <v>267</v>
      </c>
      <c r="G133" s="55" t="s">
        <v>357</v>
      </c>
    </row>
    <row r="134" spans="3:8" x14ac:dyDescent="0.2">
      <c r="C134" s="195">
        <v>44480</v>
      </c>
      <c r="D134" s="55">
        <v>260</v>
      </c>
      <c r="E134" s="55" t="s">
        <v>505</v>
      </c>
      <c r="F134" s="55" t="s">
        <v>263</v>
      </c>
      <c r="G134" s="55" t="s">
        <v>506</v>
      </c>
      <c r="H134" s="50" t="s">
        <v>224</v>
      </c>
    </row>
    <row r="135" spans="3:8" x14ac:dyDescent="0.2">
      <c r="C135" s="195">
        <v>44480</v>
      </c>
      <c r="D135" s="55">
        <v>280</v>
      </c>
      <c r="E135" s="55" t="s">
        <v>507</v>
      </c>
      <c r="F135" s="55" t="s">
        <v>210</v>
      </c>
      <c r="G135" s="55" t="s">
        <v>508</v>
      </c>
      <c r="H135" s="50" t="s">
        <v>509</v>
      </c>
    </row>
    <row r="136" spans="3:8" x14ac:dyDescent="0.2">
      <c r="C136" s="195">
        <v>44489</v>
      </c>
      <c r="D136" s="55">
        <v>280</v>
      </c>
      <c r="E136" s="55" t="s">
        <v>510</v>
      </c>
      <c r="F136" s="55" t="s">
        <v>196</v>
      </c>
      <c r="G136" s="55" t="s">
        <v>361</v>
      </c>
      <c r="H136" s="50" t="s">
        <v>511</v>
      </c>
    </row>
    <row r="137" spans="3:8" x14ac:dyDescent="0.2">
      <c r="C137" s="195">
        <v>44482</v>
      </c>
      <c r="D137" s="55">
        <v>260</v>
      </c>
      <c r="E137" s="55" t="s">
        <v>512</v>
      </c>
      <c r="F137" s="55" t="s">
        <v>196</v>
      </c>
      <c r="G137" s="55" t="s">
        <v>197</v>
      </c>
      <c r="H137" s="50" t="s">
        <v>513</v>
      </c>
    </row>
    <row r="138" spans="3:8" x14ac:dyDescent="0.2">
      <c r="C138" s="195">
        <v>44484</v>
      </c>
      <c r="D138" s="55">
        <v>280</v>
      </c>
      <c r="E138" s="55" t="s">
        <v>514</v>
      </c>
      <c r="F138" s="55" t="s">
        <v>231</v>
      </c>
      <c r="G138" s="55" t="s">
        <v>232</v>
      </c>
      <c r="H138" s="50" t="s">
        <v>515</v>
      </c>
    </row>
    <row r="139" spans="3:8" x14ac:dyDescent="0.2">
      <c r="C139" s="195">
        <v>44480</v>
      </c>
      <c r="D139" s="55">
        <v>260</v>
      </c>
      <c r="E139" s="55" t="s">
        <v>516</v>
      </c>
      <c r="F139" s="55" t="s">
        <v>267</v>
      </c>
      <c r="G139" s="55" t="s">
        <v>442</v>
      </c>
      <c r="H139" s="50" t="s">
        <v>224</v>
      </c>
    </row>
    <row r="140" spans="3:8" x14ac:dyDescent="0.2">
      <c r="C140" s="195">
        <v>44484</v>
      </c>
      <c r="D140" s="55">
        <v>260</v>
      </c>
      <c r="E140" s="55" t="s">
        <v>517</v>
      </c>
      <c r="F140" s="55" t="s">
        <v>390</v>
      </c>
      <c r="G140" s="55" t="s">
        <v>490</v>
      </c>
      <c r="H140" s="50" t="s">
        <v>518</v>
      </c>
    </row>
    <row r="141" spans="3:8" x14ac:dyDescent="0.2">
      <c r="C141" s="195">
        <v>44484</v>
      </c>
      <c r="D141" s="55">
        <v>280</v>
      </c>
      <c r="E141" s="55" t="s">
        <v>519</v>
      </c>
      <c r="F141" s="55" t="s">
        <v>267</v>
      </c>
      <c r="G141" s="55" t="s">
        <v>268</v>
      </c>
      <c r="H141" s="50" t="s">
        <v>520</v>
      </c>
    </row>
    <row r="142" spans="3:8" x14ac:dyDescent="0.2">
      <c r="C142" s="195">
        <v>44481</v>
      </c>
      <c r="D142" s="55">
        <v>280</v>
      </c>
      <c r="E142" s="55" t="s">
        <v>521</v>
      </c>
      <c r="F142" s="55" t="s">
        <v>210</v>
      </c>
      <c r="G142" s="55" t="s">
        <v>508</v>
      </c>
      <c r="H142" s="50" t="s">
        <v>522</v>
      </c>
    </row>
    <row r="143" spans="3:8" x14ac:dyDescent="0.2">
      <c r="C143" s="195">
        <v>44481</v>
      </c>
      <c r="D143" s="55">
        <v>260</v>
      </c>
      <c r="E143" s="55" t="s">
        <v>523</v>
      </c>
      <c r="F143" s="55" t="s">
        <v>263</v>
      </c>
      <c r="G143" s="55" t="s">
        <v>413</v>
      </c>
      <c r="H143" s="50" t="s">
        <v>524</v>
      </c>
    </row>
    <row r="144" spans="3:8" x14ac:dyDescent="0.2">
      <c r="C144" s="195">
        <v>44481</v>
      </c>
      <c r="D144" s="55">
        <v>280</v>
      </c>
      <c r="E144" s="55" t="s">
        <v>525</v>
      </c>
      <c r="F144" s="55" t="s">
        <v>263</v>
      </c>
      <c r="G144" s="55" t="s">
        <v>506</v>
      </c>
      <c r="H144" s="50" t="s">
        <v>526</v>
      </c>
    </row>
    <row r="145" spans="1:62" x14ac:dyDescent="0.2">
      <c r="C145" s="195">
        <v>44489</v>
      </c>
      <c r="D145" s="55">
        <v>280</v>
      </c>
      <c r="E145" s="55" t="s">
        <v>527</v>
      </c>
      <c r="F145" s="55" t="s">
        <v>196</v>
      </c>
      <c r="G145" s="55" t="s">
        <v>361</v>
      </c>
      <c r="H145" s="50" t="s">
        <v>528</v>
      </c>
    </row>
    <row r="146" spans="1:62" x14ac:dyDescent="0.2">
      <c r="C146" s="195">
        <v>44490</v>
      </c>
      <c r="D146" s="55">
        <v>280</v>
      </c>
      <c r="E146" s="55" t="s">
        <v>529</v>
      </c>
      <c r="F146" s="55" t="s">
        <v>244</v>
      </c>
      <c r="G146" s="55" t="s">
        <v>245</v>
      </c>
      <c r="H146" s="50" t="s">
        <v>530</v>
      </c>
    </row>
    <row r="147" spans="1:62" x14ac:dyDescent="0.2">
      <c r="C147" s="195">
        <v>44481</v>
      </c>
      <c r="D147" s="55">
        <v>260</v>
      </c>
      <c r="E147" s="55" t="s">
        <v>531</v>
      </c>
      <c r="F147" s="55" t="s">
        <v>210</v>
      </c>
      <c r="G147" s="55" t="s">
        <v>406</v>
      </c>
    </row>
    <row r="148" spans="1:62" x14ac:dyDescent="0.2">
      <c r="A148" s="57">
        <v>1021</v>
      </c>
      <c r="B148" t="s">
        <v>836</v>
      </c>
      <c r="C148" s="195">
        <v>44490</v>
      </c>
      <c r="D148" s="55">
        <v>280</v>
      </c>
      <c r="E148" s="55" t="s">
        <v>532</v>
      </c>
      <c r="F148" s="55" t="s">
        <v>272</v>
      </c>
      <c r="G148" s="55" t="s">
        <v>533</v>
      </c>
      <c r="H148" s="50" t="s">
        <v>224</v>
      </c>
      <c r="I148" s="46" t="s">
        <v>839</v>
      </c>
      <c r="J148" s="52">
        <v>1</v>
      </c>
      <c r="K148" s="52">
        <v>1</v>
      </c>
      <c r="O148" s="1">
        <v>1</v>
      </c>
      <c r="S148" s="1">
        <v>5</v>
      </c>
      <c r="W148" s="1">
        <v>5</v>
      </c>
      <c r="AA148" s="1">
        <v>1</v>
      </c>
      <c r="AG148">
        <v>1</v>
      </c>
      <c r="AM148">
        <v>5</v>
      </c>
      <c r="AS148">
        <v>5</v>
      </c>
      <c r="AT148">
        <v>5</v>
      </c>
      <c r="AU148">
        <v>5</v>
      </c>
      <c r="AZ148">
        <v>1</v>
      </c>
      <c r="BA148">
        <v>1</v>
      </c>
      <c r="BB148">
        <v>1</v>
      </c>
      <c r="BC148">
        <v>1</v>
      </c>
      <c r="BD148">
        <v>1</v>
      </c>
      <c r="BE148">
        <v>1</v>
      </c>
      <c r="BJ148">
        <v>5</v>
      </c>
    </row>
    <row r="149" spans="1:62" x14ac:dyDescent="0.2">
      <c r="C149" s="195">
        <v>44484</v>
      </c>
      <c r="D149" s="55">
        <v>280</v>
      </c>
      <c r="E149" s="55" t="s">
        <v>534</v>
      </c>
      <c r="F149" s="55" t="s">
        <v>267</v>
      </c>
      <c r="G149" s="55" t="s">
        <v>535</v>
      </c>
      <c r="H149" s="50" t="s">
        <v>224</v>
      </c>
    </row>
    <row r="150" spans="1:62" x14ac:dyDescent="0.2">
      <c r="C150" s="195">
        <v>44488</v>
      </c>
      <c r="D150" s="55">
        <v>260</v>
      </c>
      <c r="E150" s="55" t="s">
        <v>536</v>
      </c>
      <c r="F150" s="55" t="s">
        <v>219</v>
      </c>
      <c r="G150" s="55" t="s">
        <v>220</v>
      </c>
      <c r="H150" s="50" t="s">
        <v>537</v>
      </c>
    </row>
    <row r="151" spans="1:62" x14ac:dyDescent="0.2">
      <c r="A151" s="57">
        <v>1021</v>
      </c>
      <c r="B151" s="162" t="s">
        <v>836</v>
      </c>
      <c r="C151" s="195">
        <v>44482</v>
      </c>
      <c r="D151" s="55">
        <v>260</v>
      </c>
      <c r="E151" s="55" t="s">
        <v>538</v>
      </c>
      <c r="F151" s="55" t="s">
        <v>210</v>
      </c>
      <c r="G151" s="55" t="s">
        <v>406</v>
      </c>
      <c r="H151" s="50" t="s">
        <v>224</v>
      </c>
      <c r="I151" s="46" t="s">
        <v>839</v>
      </c>
      <c r="J151" s="52">
        <v>2</v>
      </c>
      <c r="K151" s="52">
        <v>1</v>
      </c>
      <c r="O151" s="1">
        <v>2</v>
      </c>
      <c r="S151" s="1">
        <v>1</v>
      </c>
      <c r="W151" s="1">
        <v>2</v>
      </c>
      <c r="AA151" s="1">
        <v>2</v>
      </c>
      <c r="AG151">
        <v>2</v>
      </c>
      <c r="AM151">
        <v>4</v>
      </c>
      <c r="AS151">
        <v>4</v>
      </c>
      <c r="AT151">
        <v>2</v>
      </c>
      <c r="AU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J151">
        <v>1</v>
      </c>
    </row>
    <row r="152" spans="1:62" x14ac:dyDescent="0.2">
      <c r="C152" s="195">
        <v>44488</v>
      </c>
      <c r="D152" s="55">
        <v>260</v>
      </c>
      <c r="E152" s="55" t="s">
        <v>539</v>
      </c>
      <c r="F152" s="55" t="s">
        <v>219</v>
      </c>
      <c r="G152" s="55" t="s">
        <v>540</v>
      </c>
      <c r="H152" s="50" t="s">
        <v>541</v>
      </c>
    </row>
    <row r="153" spans="1:62" x14ac:dyDescent="0.2">
      <c r="C153" s="195">
        <v>44496</v>
      </c>
      <c r="D153" s="55">
        <v>260</v>
      </c>
      <c r="E153" s="55" t="s">
        <v>542</v>
      </c>
      <c r="F153" s="55" t="s">
        <v>210</v>
      </c>
      <c r="G153" s="55" t="s">
        <v>383</v>
      </c>
      <c r="H153" s="50" t="s">
        <v>543</v>
      </c>
    </row>
    <row r="154" spans="1:62" x14ac:dyDescent="0.2">
      <c r="C154" s="195">
        <v>44489</v>
      </c>
      <c r="D154" s="55">
        <v>260</v>
      </c>
      <c r="E154" s="55" t="s">
        <v>544</v>
      </c>
      <c r="F154" s="55" t="s">
        <v>210</v>
      </c>
      <c r="G154" s="55" t="s">
        <v>211</v>
      </c>
      <c r="H154" s="50" t="s">
        <v>224</v>
      </c>
    </row>
    <row r="155" spans="1:62" x14ac:dyDescent="0.2">
      <c r="C155" s="195">
        <v>44488</v>
      </c>
      <c r="D155" s="55">
        <v>260</v>
      </c>
      <c r="E155" s="55" t="s">
        <v>545</v>
      </c>
      <c r="F155" s="55" t="s">
        <v>219</v>
      </c>
      <c r="G155" s="55" t="s">
        <v>540</v>
      </c>
      <c r="H155" s="50" t="s">
        <v>546</v>
      </c>
    </row>
    <row r="156" spans="1:62" x14ac:dyDescent="0.2">
      <c r="C156" s="195">
        <v>44488</v>
      </c>
      <c r="D156" s="55">
        <v>280</v>
      </c>
      <c r="E156" s="55" t="s">
        <v>547</v>
      </c>
      <c r="F156" s="55" t="s">
        <v>206</v>
      </c>
      <c r="G156" s="55" t="s">
        <v>548</v>
      </c>
      <c r="H156" s="50" t="s">
        <v>549</v>
      </c>
    </row>
    <row r="157" spans="1:62" x14ac:dyDescent="0.2">
      <c r="C157" s="195">
        <v>44489</v>
      </c>
      <c r="D157" s="55">
        <v>260</v>
      </c>
      <c r="E157" s="55" t="s">
        <v>550</v>
      </c>
      <c r="F157" s="55" t="s">
        <v>196</v>
      </c>
      <c r="G157" s="55" t="s">
        <v>349</v>
      </c>
      <c r="H157" s="50" t="s">
        <v>551</v>
      </c>
    </row>
    <row r="158" spans="1:62" x14ac:dyDescent="0.2">
      <c r="C158" s="195">
        <v>44488</v>
      </c>
      <c r="D158" s="55">
        <v>280</v>
      </c>
      <c r="E158" s="55" t="s">
        <v>552</v>
      </c>
      <c r="F158" s="55" t="s">
        <v>202</v>
      </c>
      <c r="G158" s="55" t="s">
        <v>203</v>
      </c>
      <c r="H158" s="50" t="s">
        <v>553</v>
      </c>
    </row>
    <row r="159" spans="1:62" x14ac:dyDescent="0.2">
      <c r="C159" s="195">
        <v>44488</v>
      </c>
      <c r="D159" s="55">
        <v>280</v>
      </c>
      <c r="E159" s="55" t="s">
        <v>554</v>
      </c>
      <c r="F159" s="55" t="s">
        <v>202</v>
      </c>
      <c r="G159" s="55" t="s">
        <v>203</v>
      </c>
      <c r="H159" s="50" t="s">
        <v>555</v>
      </c>
    </row>
    <row r="160" spans="1:62" x14ac:dyDescent="0.2">
      <c r="A160" s="57">
        <v>1021</v>
      </c>
      <c r="B160" s="162" t="s">
        <v>836</v>
      </c>
      <c r="C160" s="195">
        <v>44484</v>
      </c>
      <c r="D160" s="55">
        <v>260</v>
      </c>
      <c r="E160" s="55" t="s">
        <v>556</v>
      </c>
      <c r="F160" s="55" t="s">
        <v>196</v>
      </c>
      <c r="G160" s="55" t="s">
        <v>557</v>
      </c>
      <c r="H160" s="50" t="s">
        <v>558</v>
      </c>
      <c r="I160" s="46" t="s">
        <v>839</v>
      </c>
      <c r="J160" s="52">
        <v>1</v>
      </c>
      <c r="K160" s="52">
        <v>1</v>
      </c>
      <c r="O160" s="1">
        <v>1</v>
      </c>
      <c r="S160" s="1">
        <v>1</v>
      </c>
      <c r="W160" s="1">
        <v>1</v>
      </c>
      <c r="AA160" s="1">
        <v>1</v>
      </c>
      <c r="AG160">
        <v>1</v>
      </c>
      <c r="AM160">
        <v>1</v>
      </c>
      <c r="AN160">
        <v>1</v>
      </c>
      <c r="AO160">
        <v>1</v>
      </c>
      <c r="AP160">
        <v>1</v>
      </c>
      <c r="AQ160">
        <v>3</v>
      </c>
      <c r="AR160">
        <v>2</v>
      </c>
      <c r="AS160">
        <v>4</v>
      </c>
      <c r="AT160">
        <v>1</v>
      </c>
      <c r="AU160">
        <v>1</v>
      </c>
      <c r="AZ160">
        <v>1</v>
      </c>
      <c r="BA160">
        <v>1</v>
      </c>
      <c r="BB160">
        <v>1</v>
      </c>
      <c r="BC160">
        <v>1</v>
      </c>
      <c r="BD160">
        <v>1</v>
      </c>
      <c r="BE160">
        <v>1</v>
      </c>
      <c r="BJ160">
        <v>1</v>
      </c>
    </row>
    <row r="161" spans="1:9" x14ac:dyDescent="0.2">
      <c r="C161" s="195">
        <v>44484</v>
      </c>
      <c r="D161" s="55">
        <v>260</v>
      </c>
      <c r="E161" s="55" t="s">
        <v>559</v>
      </c>
      <c r="F161" s="55" t="s">
        <v>202</v>
      </c>
      <c r="G161" s="55" t="s">
        <v>341</v>
      </c>
      <c r="H161" s="50" t="s">
        <v>224</v>
      </c>
    </row>
    <row r="162" spans="1:9" x14ac:dyDescent="0.2">
      <c r="C162" s="195">
        <v>44498</v>
      </c>
      <c r="D162" s="55">
        <v>280</v>
      </c>
      <c r="E162" s="55" t="s">
        <v>560</v>
      </c>
      <c r="F162" s="55" t="s">
        <v>219</v>
      </c>
      <c r="G162" s="55" t="s">
        <v>561</v>
      </c>
      <c r="H162" s="50" t="s">
        <v>224</v>
      </c>
    </row>
    <row r="163" spans="1:9" x14ac:dyDescent="0.2">
      <c r="C163" s="195">
        <v>44490</v>
      </c>
      <c r="D163" s="55">
        <v>280</v>
      </c>
      <c r="E163" s="55" t="s">
        <v>562</v>
      </c>
      <c r="F163" s="55" t="s">
        <v>192</v>
      </c>
      <c r="G163" s="55" t="s">
        <v>563</v>
      </c>
      <c r="H163" s="50" t="s">
        <v>564</v>
      </c>
    </row>
    <row r="164" spans="1:9" x14ac:dyDescent="0.2">
      <c r="C164" s="195">
        <v>44484</v>
      </c>
      <c r="D164" s="55">
        <v>260</v>
      </c>
      <c r="E164" s="55" t="s">
        <v>565</v>
      </c>
      <c r="F164" s="55" t="s">
        <v>202</v>
      </c>
      <c r="G164" s="55" t="s">
        <v>341</v>
      </c>
      <c r="H164" s="50" t="s">
        <v>566</v>
      </c>
    </row>
    <row r="165" spans="1:9" x14ac:dyDescent="0.2">
      <c r="C165" s="195">
        <v>44491</v>
      </c>
      <c r="D165" s="55">
        <v>260</v>
      </c>
      <c r="E165" s="55" t="s">
        <v>567</v>
      </c>
      <c r="F165" s="55" t="s">
        <v>206</v>
      </c>
      <c r="G165" s="55" t="s">
        <v>568</v>
      </c>
      <c r="H165" s="50" t="s">
        <v>569</v>
      </c>
    </row>
    <row r="166" spans="1:9" x14ac:dyDescent="0.2">
      <c r="C166" s="195">
        <v>44498</v>
      </c>
      <c r="D166" s="55">
        <v>280</v>
      </c>
      <c r="E166" s="55" t="s">
        <v>570</v>
      </c>
      <c r="F166" s="55" t="s">
        <v>219</v>
      </c>
      <c r="G166" s="55" t="s">
        <v>561</v>
      </c>
      <c r="H166" s="50" t="s">
        <v>571</v>
      </c>
    </row>
    <row r="167" spans="1:9" x14ac:dyDescent="0.2">
      <c r="C167" s="195">
        <v>44484</v>
      </c>
      <c r="D167" s="55">
        <v>260</v>
      </c>
      <c r="E167" s="55" t="s">
        <v>572</v>
      </c>
      <c r="F167" s="55" t="s">
        <v>202</v>
      </c>
      <c r="G167" s="55" t="s">
        <v>341</v>
      </c>
      <c r="H167" s="50" t="s">
        <v>224</v>
      </c>
    </row>
    <row r="168" spans="1:9" x14ac:dyDescent="0.2">
      <c r="C168" s="195">
        <v>44489</v>
      </c>
      <c r="D168" s="55">
        <v>280</v>
      </c>
      <c r="E168" s="55" t="s">
        <v>573</v>
      </c>
      <c r="F168" s="55" t="s">
        <v>196</v>
      </c>
      <c r="G168" s="55" t="s">
        <v>557</v>
      </c>
      <c r="H168" s="50" t="s">
        <v>224</v>
      </c>
    </row>
    <row r="169" spans="1:9" x14ac:dyDescent="0.2">
      <c r="C169" s="195">
        <v>44490</v>
      </c>
      <c r="D169" s="55">
        <v>280</v>
      </c>
      <c r="E169" s="55" t="s">
        <v>574</v>
      </c>
      <c r="F169" s="55" t="s">
        <v>192</v>
      </c>
      <c r="G169" s="55" t="s">
        <v>563</v>
      </c>
      <c r="H169" s="50" t="s">
        <v>224</v>
      </c>
    </row>
    <row r="170" spans="1:9" x14ac:dyDescent="0.2">
      <c r="A170" s="57">
        <v>1021</v>
      </c>
      <c r="B170" t="s">
        <v>836</v>
      </c>
      <c r="C170" s="195">
        <v>44490</v>
      </c>
      <c r="D170" s="55">
        <v>280</v>
      </c>
      <c r="E170" s="55" t="s">
        <v>575</v>
      </c>
      <c r="F170" s="55" t="s">
        <v>192</v>
      </c>
      <c r="G170" s="55" t="s">
        <v>563</v>
      </c>
      <c r="H170" s="50" t="s">
        <v>224</v>
      </c>
      <c r="I170" s="46" t="s">
        <v>837</v>
      </c>
    </row>
    <row r="171" spans="1:9" x14ac:dyDescent="0.2">
      <c r="C171" s="195">
        <v>44483</v>
      </c>
      <c r="D171" s="55">
        <v>260</v>
      </c>
      <c r="E171" s="55" t="s">
        <v>576</v>
      </c>
      <c r="F171" s="55" t="s">
        <v>231</v>
      </c>
      <c r="G171" s="55" t="s">
        <v>421</v>
      </c>
      <c r="H171" s="50" t="s">
        <v>577</v>
      </c>
    </row>
    <row r="172" spans="1:9" x14ac:dyDescent="0.2">
      <c r="C172" s="195">
        <v>44496</v>
      </c>
      <c r="D172" s="55">
        <v>280</v>
      </c>
      <c r="E172" s="55" t="s">
        <v>578</v>
      </c>
      <c r="F172" s="55" t="s">
        <v>263</v>
      </c>
      <c r="G172" s="55" t="s">
        <v>579</v>
      </c>
      <c r="H172" s="50" t="s">
        <v>224</v>
      </c>
    </row>
    <row r="173" spans="1:9" x14ac:dyDescent="0.2">
      <c r="C173" s="195">
        <v>44498</v>
      </c>
      <c r="D173" s="55">
        <v>280</v>
      </c>
      <c r="E173" s="55" t="s">
        <v>580</v>
      </c>
      <c r="F173" s="55" t="s">
        <v>219</v>
      </c>
      <c r="G173" s="55" t="s">
        <v>561</v>
      </c>
      <c r="H173" s="50" t="s">
        <v>581</v>
      </c>
    </row>
    <row r="174" spans="1:9" x14ac:dyDescent="0.2">
      <c r="A174" s="57">
        <v>1021</v>
      </c>
      <c r="B174" t="s">
        <v>836</v>
      </c>
      <c r="C174" s="195">
        <v>44490</v>
      </c>
      <c r="D174" s="55">
        <v>280</v>
      </c>
      <c r="E174" s="55" t="s">
        <v>582</v>
      </c>
      <c r="F174" s="55" t="s">
        <v>192</v>
      </c>
      <c r="G174" s="55" t="s">
        <v>563</v>
      </c>
      <c r="H174" s="50" t="s">
        <v>224</v>
      </c>
      <c r="I174" s="46" t="s">
        <v>837</v>
      </c>
    </row>
    <row r="175" spans="1:9" x14ac:dyDescent="0.2">
      <c r="C175" s="195">
        <v>44489</v>
      </c>
      <c r="D175" s="55">
        <v>280</v>
      </c>
      <c r="E175" s="55" t="s">
        <v>583</v>
      </c>
      <c r="F175" s="55" t="s">
        <v>196</v>
      </c>
      <c r="G175" s="55" t="s">
        <v>349</v>
      </c>
      <c r="H175" s="50" t="s">
        <v>584</v>
      </c>
    </row>
    <row r="176" spans="1:9" x14ac:dyDescent="0.2">
      <c r="C176" s="195">
        <v>44489</v>
      </c>
      <c r="D176" s="55">
        <v>260</v>
      </c>
      <c r="E176" s="55" t="s">
        <v>585</v>
      </c>
      <c r="F176" s="55" t="s">
        <v>206</v>
      </c>
      <c r="G176" s="55" t="s">
        <v>548</v>
      </c>
      <c r="H176" s="50" t="s">
        <v>586</v>
      </c>
    </row>
    <row r="177" spans="1:62" x14ac:dyDescent="0.2">
      <c r="C177" s="195">
        <v>44484</v>
      </c>
      <c r="D177" s="55">
        <v>260</v>
      </c>
      <c r="E177" s="55" t="s">
        <v>587</v>
      </c>
      <c r="F177" s="55" t="s">
        <v>231</v>
      </c>
      <c r="G177" s="55" t="s">
        <v>232</v>
      </c>
      <c r="H177" s="50" t="s">
        <v>588</v>
      </c>
    </row>
    <row r="178" spans="1:62" x14ac:dyDescent="0.2">
      <c r="C178" s="195">
        <v>44494</v>
      </c>
      <c r="D178" s="55">
        <v>280</v>
      </c>
      <c r="E178" s="55" t="s">
        <v>589</v>
      </c>
      <c r="F178" s="55" t="s">
        <v>390</v>
      </c>
      <c r="G178" s="55" t="s">
        <v>590</v>
      </c>
      <c r="H178" s="50" t="s">
        <v>591</v>
      </c>
    </row>
    <row r="179" spans="1:62" x14ac:dyDescent="0.2">
      <c r="A179" s="57">
        <v>1021</v>
      </c>
      <c r="B179" t="s">
        <v>836</v>
      </c>
      <c r="C179" s="195">
        <v>44484</v>
      </c>
      <c r="D179" s="55">
        <v>260</v>
      </c>
      <c r="E179" s="55" t="s">
        <v>592</v>
      </c>
      <c r="F179" s="55" t="s">
        <v>192</v>
      </c>
      <c r="G179" s="55" t="s">
        <v>401</v>
      </c>
      <c r="H179" s="50" t="s">
        <v>593</v>
      </c>
      <c r="I179" s="46" t="s">
        <v>837</v>
      </c>
    </row>
    <row r="180" spans="1:62" x14ac:dyDescent="0.2">
      <c r="C180" s="195">
        <v>44484</v>
      </c>
      <c r="D180" s="55">
        <v>260</v>
      </c>
      <c r="E180" s="55" t="s">
        <v>594</v>
      </c>
      <c r="F180" s="55" t="s">
        <v>231</v>
      </c>
      <c r="G180" s="55" t="s">
        <v>232</v>
      </c>
      <c r="H180" s="50" t="s">
        <v>224</v>
      </c>
    </row>
    <row r="181" spans="1:62" x14ac:dyDescent="0.2">
      <c r="C181" s="195">
        <v>44484</v>
      </c>
      <c r="D181" s="55">
        <v>260</v>
      </c>
      <c r="E181" s="55" t="s">
        <v>595</v>
      </c>
      <c r="F181" s="55" t="s">
        <v>196</v>
      </c>
      <c r="G181" s="55" t="s">
        <v>464</v>
      </c>
      <c r="H181" s="50" t="s">
        <v>596</v>
      </c>
    </row>
    <row r="182" spans="1:62" x14ac:dyDescent="0.2">
      <c r="C182" s="195">
        <v>44489</v>
      </c>
      <c r="D182" s="55">
        <v>260</v>
      </c>
      <c r="E182" s="55" t="s">
        <v>597</v>
      </c>
      <c r="F182" s="55" t="s">
        <v>196</v>
      </c>
      <c r="G182" s="55" t="s">
        <v>557</v>
      </c>
      <c r="H182" s="50" t="s">
        <v>598</v>
      </c>
    </row>
    <row r="183" spans="1:62" x14ac:dyDescent="0.2">
      <c r="C183" s="195">
        <v>44494</v>
      </c>
      <c r="D183" s="55">
        <v>280</v>
      </c>
      <c r="E183" s="55" t="s">
        <v>599</v>
      </c>
      <c r="F183" s="55" t="s">
        <v>390</v>
      </c>
      <c r="G183" s="55" t="s">
        <v>590</v>
      </c>
      <c r="H183" s="50" t="s">
        <v>600</v>
      </c>
    </row>
    <row r="184" spans="1:62" x14ac:dyDescent="0.2">
      <c r="C184" s="195">
        <v>44484</v>
      </c>
      <c r="D184" s="55">
        <v>260</v>
      </c>
      <c r="E184" s="55" t="s">
        <v>601</v>
      </c>
      <c r="F184" s="55" t="s">
        <v>267</v>
      </c>
      <c r="G184" s="55" t="s">
        <v>602</v>
      </c>
      <c r="H184" s="50" t="s">
        <v>603</v>
      </c>
    </row>
    <row r="185" spans="1:62" x14ac:dyDescent="0.2">
      <c r="C185" s="195">
        <v>44489</v>
      </c>
      <c r="D185" s="55">
        <v>260</v>
      </c>
      <c r="E185" s="55" t="s">
        <v>604</v>
      </c>
      <c r="F185" s="55" t="s">
        <v>390</v>
      </c>
      <c r="G185" s="55" t="s">
        <v>391</v>
      </c>
      <c r="H185" s="50" t="s">
        <v>605</v>
      </c>
    </row>
    <row r="186" spans="1:62" x14ac:dyDescent="0.2">
      <c r="C186" s="195">
        <v>44484</v>
      </c>
      <c r="D186" s="55">
        <v>280</v>
      </c>
      <c r="E186" s="55" t="s">
        <v>606</v>
      </c>
      <c r="F186" s="55" t="s">
        <v>291</v>
      </c>
      <c r="G186" s="55" t="s">
        <v>607</v>
      </c>
      <c r="H186" s="50" t="s">
        <v>608</v>
      </c>
    </row>
    <row r="187" spans="1:62" x14ac:dyDescent="0.2">
      <c r="C187" s="195">
        <v>44487</v>
      </c>
      <c r="D187" s="55">
        <v>260</v>
      </c>
      <c r="E187" s="55" t="s">
        <v>609</v>
      </c>
      <c r="F187" s="55" t="s">
        <v>267</v>
      </c>
      <c r="G187" s="55" t="s">
        <v>535</v>
      </c>
      <c r="H187" s="50" t="s">
        <v>224</v>
      </c>
    </row>
    <row r="188" spans="1:62" x14ac:dyDescent="0.2">
      <c r="C188" s="195">
        <v>44490</v>
      </c>
      <c r="D188" s="55">
        <v>260</v>
      </c>
      <c r="E188" s="55" t="s">
        <v>610</v>
      </c>
      <c r="F188" s="55" t="s">
        <v>231</v>
      </c>
      <c r="G188" s="55" t="s">
        <v>387</v>
      </c>
      <c r="H188" s="50" t="s">
        <v>611</v>
      </c>
    </row>
    <row r="189" spans="1:62" x14ac:dyDescent="0.2">
      <c r="A189" s="57">
        <v>1021</v>
      </c>
      <c r="B189" t="s">
        <v>836</v>
      </c>
      <c r="C189" s="195">
        <v>44494</v>
      </c>
      <c r="D189" s="55">
        <v>280</v>
      </c>
      <c r="E189" s="55" t="s">
        <v>612</v>
      </c>
      <c r="F189" s="55" t="s">
        <v>263</v>
      </c>
      <c r="G189" s="55" t="s">
        <v>613</v>
      </c>
      <c r="H189" s="50" t="s">
        <v>224</v>
      </c>
      <c r="I189" s="46" t="s">
        <v>839</v>
      </c>
      <c r="J189" s="52">
        <v>1</v>
      </c>
      <c r="K189" s="52">
        <v>1</v>
      </c>
      <c r="O189" s="1">
        <v>1</v>
      </c>
      <c r="S189" s="1">
        <v>1</v>
      </c>
      <c r="W189" s="1">
        <v>1</v>
      </c>
      <c r="AA189" s="1">
        <v>2</v>
      </c>
      <c r="AG189">
        <v>2</v>
      </c>
      <c r="AM189">
        <v>4</v>
      </c>
      <c r="AS189">
        <v>3</v>
      </c>
      <c r="AT189">
        <v>1</v>
      </c>
      <c r="AU189">
        <v>2</v>
      </c>
      <c r="AZ189">
        <v>1</v>
      </c>
      <c r="BA189">
        <v>1</v>
      </c>
      <c r="BB189">
        <v>1</v>
      </c>
      <c r="BC189">
        <v>1</v>
      </c>
      <c r="BD189">
        <v>1</v>
      </c>
      <c r="BE189">
        <v>2</v>
      </c>
      <c r="BJ189">
        <v>1</v>
      </c>
    </row>
    <row r="190" spans="1:62" x14ac:dyDescent="0.2">
      <c r="C190" s="195">
        <v>44487</v>
      </c>
      <c r="D190" s="55">
        <v>260</v>
      </c>
      <c r="E190" s="55" t="s">
        <v>614</v>
      </c>
      <c r="F190" s="55" t="s">
        <v>202</v>
      </c>
      <c r="G190" s="55" t="s">
        <v>302</v>
      </c>
      <c r="H190" s="50" t="s">
        <v>615</v>
      </c>
    </row>
    <row r="191" spans="1:62" x14ac:dyDescent="0.2">
      <c r="C191" s="195">
        <v>44490</v>
      </c>
      <c r="D191" s="55">
        <v>280</v>
      </c>
      <c r="E191" s="55" t="s">
        <v>616</v>
      </c>
      <c r="F191" s="55" t="s">
        <v>244</v>
      </c>
      <c r="G191" s="55" t="s">
        <v>294</v>
      </c>
      <c r="H191" s="50" t="s">
        <v>617</v>
      </c>
    </row>
    <row r="192" spans="1:62" x14ac:dyDescent="0.2">
      <c r="C192" s="195">
        <v>44488</v>
      </c>
      <c r="D192" s="55">
        <v>260</v>
      </c>
      <c r="E192" s="55" t="s">
        <v>618</v>
      </c>
      <c r="F192" s="55" t="s">
        <v>231</v>
      </c>
      <c r="G192" s="55" t="s">
        <v>387</v>
      </c>
      <c r="H192" s="50" t="s">
        <v>619</v>
      </c>
    </row>
    <row r="193" spans="1:62" x14ac:dyDescent="0.2">
      <c r="C193" s="195">
        <v>44487</v>
      </c>
      <c r="D193" s="55">
        <v>260</v>
      </c>
      <c r="E193" s="55" t="s">
        <v>620</v>
      </c>
      <c r="F193" s="55" t="s">
        <v>210</v>
      </c>
      <c r="G193" s="55" t="s">
        <v>508</v>
      </c>
      <c r="H193" s="50" t="s">
        <v>621</v>
      </c>
    </row>
    <row r="194" spans="1:62" x14ac:dyDescent="0.2">
      <c r="C194" s="195">
        <v>44491</v>
      </c>
      <c r="D194" s="55">
        <v>280</v>
      </c>
      <c r="E194" s="55" t="s">
        <v>622</v>
      </c>
      <c r="F194" s="55" t="s">
        <v>202</v>
      </c>
      <c r="G194" s="55" t="s">
        <v>203</v>
      </c>
      <c r="H194" s="50" t="s">
        <v>623</v>
      </c>
    </row>
    <row r="195" spans="1:62" x14ac:dyDescent="0.2">
      <c r="C195" s="195">
        <v>44491</v>
      </c>
      <c r="D195" s="55">
        <v>280</v>
      </c>
      <c r="E195" s="55" t="s">
        <v>624</v>
      </c>
      <c r="F195" s="55" t="s">
        <v>244</v>
      </c>
      <c r="G195" s="55" t="s">
        <v>378</v>
      </c>
      <c r="H195" s="50" t="s">
        <v>625</v>
      </c>
    </row>
    <row r="196" spans="1:62" x14ac:dyDescent="0.2">
      <c r="C196" s="195">
        <v>44488</v>
      </c>
      <c r="D196" s="55">
        <v>280</v>
      </c>
      <c r="E196" s="55" t="s">
        <v>626</v>
      </c>
      <c r="F196" s="55" t="s">
        <v>272</v>
      </c>
      <c r="G196" s="55" t="s">
        <v>533</v>
      </c>
      <c r="H196" s="50" t="s">
        <v>627</v>
      </c>
    </row>
    <row r="197" spans="1:62" x14ac:dyDescent="0.2">
      <c r="C197" s="195">
        <v>44489</v>
      </c>
      <c r="D197" s="55">
        <v>280</v>
      </c>
      <c r="E197" s="55" t="s">
        <v>628</v>
      </c>
      <c r="F197" s="55" t="s">
        <v>244</v>
      </c>
      <c r="G197" s="55" t="s">
        <v>393</v>
      </c>
      <c r="H197" s="50" t="s">
        <v>629</v>
      </c>
    </row>
    <row r="198" spans="1:62" x14ac:dyDescent="0.2">
      <c r="C198" s="195">
        <v>44488</v>
      </c>
      <c r="D198" s="55">
        <v>280</v>
      </c>
      <c r="E198" s="55" t="s">
        <v>630</v>
      </c>
      <c r="F198" s="55" t="s">
        <v>206</v>
      </c>
      <c r="G198" s="55" t="s">
        <v>228</v>
      </c>
      <c r="H198" s="50" t="s">
        <v>631</v>
      </c>
    </row>
    <row r="199" spans="1:62" x14ac:dyDescent="0.2">
      <c r="C199" s="195">
        <v>44487</v>
      </c>
      <c r="D199" s="55">
        <v>260</v>
      </c>
      <c r="E199" s="55" t="s">
        <v>632</v>
      </c>
      <c r="F199" s="55" t="s">
        <v>263</v>
      </c>
      <c r="G199" s="55" t="s">
        <v>633</v>
      </c>
    </row>
    <row r="200" spans="1:62" x14ac:dyDescent="0.2">
      <c r="C200" s="195">
        <v>44488</v>
      </c>
      <c r="D200" s="55">
        <v>260</v>
      </c>
      <c r="E200" s="55" t="s">
        <v>634</v>
      </c>
      <c r="F200" s="55" t="s">
        <v>210</v>
      </c>
      <c r="G200" s="55" t="s">
        <v>418</v>
      </c>
      <c r="H200" s="50" t="s">
        <v>635</v>
      </c>
    </row>
    <row r="201" spans="1:62" x14ac:dyDescent="0.2">
      <c r="C201" s="195">
        <v>44489</v>
      </c>
      <c r="D201" s="55">
        <v>280</v>
      </c>
      <c r="E201" s="55" t="s">
        <v>636</v>
      </c>
      <c r="F201" s="55" t="s">
        <v>272</v>
      </c>
      <c r="G201" s="55" t="s">
        <v>366</v>
      </c>
      <c r="H201" s="50" t="s">
        <v>637</v>
      </c>
    </row>
    <row r="202" spans="1:62" x14ac:dyDescent="0.2">
      <c r="A202" s="57">
        <v>1021</v>
      </c>
      <c r="B202" t="s">
        <v>836</v>
      </c>
      <c r="C202" s="195">
        <v>44488</v>
      </c>
      <c r="D202" s="55">
        <v>280</v>
      </c>
      <c r="E202" s="55" t="s">
        <v>638</v>
      </c>
      <c r="F202" s="55" t="s">
        <v>219</v>
      </c>
      <c r="G202" s="55" t="s">
        <v>451</v>
      </c>
      <c r="H202" s="50" t="s">
        <v>224</v>
      </c>
      <c r="I202" s="46" t="s">
        <v>839</v>
      </c>
      <c r="J202" s="52">
        <v>1</v>
      </c>
      <c r="K202" s="52">
        <v>1</v>
      </c>
      <c r="O202" s="1">
        <v>1</v>
      </c>
      <c r="S202" s="1">
        <v>1</v>
      </c>
      <c r="W202" s="1">
        <v>1</v>
      </c>
      <c r="AA202" s="1">
        <v>2</v>
      </c>
      <c r="AG202">
        <v>2</v>
      </c>
      <c r="AM202">
        <v>1</v>
      </c>
      <c r="AN202">
        <v>3</v>
      </c>
      <c r="AO202">
        <v>1</v>
      </c>
      <c r="AP202">
        <v>1</v>
      </c>
      <c r="AQ202">
        <v>2</v>
      </c>
      <c r="AR202">
        <v>2</v>
      </c>
      <c r="AS202">
        <v>1</v>
      </c>
      <c r="AT202">
        <v>1</v>
      </c>
      <c r="AU202">
        <v>1</v>
      </c>
      <c r="AZ202">
        <v>1</v>
      </c>
      <c r="BA202">
        <v>1</v>
      </c>
      <c r="BB202">
        <v>1</v>
      </c>
      <c r="BC202">
        <v>1</v>
      </c>
      <c r="BD202">
        <v>3</v>
      </c>
      <c r="BE202">
        <v>2</v>
      </c>
      <c r="BJ202">
        <v>1</v>
      </c>
    </row>
    <row r="203" spans="1:62" x14ac:dyDescent="0.2">
      <c r="C203" s="195">
        <v>44496</v>
      </c>
      <c r="D203" s="55">
        <v>260</v>
      </c>
      <c r="E203" s="55" t="s">
        <v>639</v>
      </c>
      <c r="F203" s="55" t="s">
        <v>192</v>
      </c>
      <c r="G203" s="55" t="s">
        <v>640</v>
      </c>
      <c r="H203" s="50" t="s">
        <v>641</v>
      </c>
    </row>
    <row r="204" spans="1:62" x14ac:dyDescent="0.2">
      <c r="C204" s="195">
        <v>44488</v>
      </c>
      <c r="D204" s="55">
        <v>280</v>
      </c>
      <c r="E204" s="55" t="s">
        <v>642</v>
      </c>
      <c r="F204" s="55" t="s">
        <v>291</v>
      </c>
      <c r="G204" s="55" t="s">
        <v>643</v>
      </c>
      <c r="H204" s="50" t="s">
        <v>224</v>
      </c>
    </row>
    <row r="205" spans="1:62" x14ac:dyDescent="0.2">
      <c r="C205" s="195">
        <v>44488</v>
      </c>
      <c r="D205" s="55">
        <v>280</v>
      </c>
      <c r="E205" s="55" t="s">
        <v>644</v>
      </c>
      <c r="F205" s="55" t="s">
        <v>196</v>
      </c>
      <c r="G205" s="55" t="s">
        <v>645</v>
      </c>
      <c r="H205" s="50" t="s">
        <v>646</v>
      </c>
    </row>
    <row r="206" spans="1:62" x14ac:dyDescent="0.2">
      <c r="C206" s="195">
        <v>44488</v>
      </c>
      <c r="D206" s="55">
        <v>280</v>
      </c>
      <c r="E206" s="55" t="s">
        <v>647</v>
      </c>
      <c r="F206" s="55" t="s">
        <v>231</v>
      </c>
      <c r="G206" s="55" t="s">
        <v>648</v>
      </c>
      <c r="H206" s="50" t="s">
        <v>649</v>
      </c>
    </row>
    <row r="207" spans="1:62" x14ac:dyDescent="0.2">
      <c r="C207" s="195">
        <v>44496</v>
      </c>
      <c r="D207" s="55">
        <v>280</v>
      </c>
      <c r="E207" s="55" t="s">
        <v>650</v>
      </c>
      <c r="F207" s="55" t="s">
        <v>231</v>
      </c>
      <c r="G207" s="55" t="s">
        <v>232</v>
      </c>
    </row>
    <row r="208" spans="1:62" x14ac:dyDescent="0.2">
      <c r="C208" s="195">
        <v>44490</v>
      </c>
      <c r="D208" s="55">
        <v>260</v>
      </c>
      <c r="E208" s="55" t="s">
        <v>651</v>
      </c>
      <c r="F208" s="55" t="s">
        <v>192</v>
      </c>
      <c r="G208" s="55" t="s">
        <v>487</v>
      </c>
      <c r="H208" s="50" t="s">
        <v>652</v>
      </c>
    </row>
    <row r="209" spans="3:8" x14ac:dyDescent="0.2">
      <c r="C209" s="195">
        <v>44489</v>
      </c>
      <c r="D209" s="55">
        <v>280</v>
      </c>
      <c r="E209" s="55" t="s">
        <v>653</v>
      </c>
      <c r="F209" s="55" t="s">
        <v>390</v>
      </c>
      <c r="G209" s="55" t="s">
        <v>408</v>
      </c>
      <c r="H209" s="50" t="s">
        <v>654</v>
      </c>
    </row>
    <row r="210" spans="3:8" x14ac:dyDescent="0.2">
      <c r="C210" s="195">
        <v>44494</v>
      </c>
      <c r="D210" s="55">
        <v>280</v>
      </c>
      <c r="E210" s="55" t="s">
        <v>655</v>
      </c>
      <c r="F210" s="55" t="s">
        <v>390</v>
      </c>
      <c r="G210" s="55" t="s">
        <v>656</v>
      </c>
      <c r="H210" s="50" t="s">
        <v>657</v>
      </c>
    </row>
    <row r="211" spans="3:8" x14ac:dyDescent="0.2">
      <c r="C211" s="195">
        <v>44488</v>
      </c>
      <c r="D211" s="55">
        <v>280</v>
      </c>
      <c r="E211" s="55" t="s">
        <v>658</v>
      </c>
      <c r="F211" s="55" t="s">
        <v>192</v>
      </c>
      <c r="G211" s="55" t="s">
        <v>324</v>
      </c>
      <c r="H211" s="50" t="s">
        <v>659</v>
      </c>
    </row>
    <row r="212" spans="3:8" x14ac:dyDescent="0.2">
      <c r="C212" s="195">
        <v>44489</v>
      </c>
      <c r="D212" s="55">
        <v>280</v>
      </c>
      <c r="E212" s="55" t="s">
        <v>660</v>
      </c>
      <c r="F212" s="55" t="s">
        <v>231</v>
      </c>
      <c r="G212" s="55" t="s">
        <v>387</v>
      </c>
      <c r="H212" s="50" t="s">
        <v>661</v>
      </c>
    </row>
    <row r="213" spans="3:8" x14ac:dyDescent="0.2">
      <c r="C213" s="195">
        <v>44494</v>
      </c>
      <c r="D213" s="55">
        <v>280</v>
      </c>
      <c r="E213" s="55" t="s">
        <v>662</v>
      </c>
      <c r="F213" s="55" t="s">
        <v>192</v>
      </c>
      <c r="G213" s="55" t="s">
        <v>663</v>
      </c>
      <c r="H213" s="50" t="s">
        <v>224</v>
      </c>
    </row>
    <row r="214" spans="3:8" x14ac:dyDescent="0.2">
      <c r="C214" s="195">
        <v>44489</v>
      </c>
      <c r="D214" s="55">
        <v>280</v>
      </c>
      <c r="E214" s="55" t="s">
        <v>664</v>
      </c>
      <c r="F214" s="55" t="s">
        <v>231</v>
      </c>
      <c r="G214" s="55" t="s">
        <v>387</v>
      </c>
      <c r="H214" s="50" t="s">
        <v>665</v>
      </c>
    </row>
    <row r="215" spans="3:8" x14ac:dyDescent="0.2">
      <c r="C215" s="195">
        <v>44489</v>
      </c>
      <c r="D215" s="55">
        <v>280</v>
      </c>
      <c r="E215" s="55" t="s">
        <v>666</v>
      </c>
      <c r="F215" s="55" t="s">
        <v>210</v>
      </c>
      <c r="G215" s="55" t="s">
        <v>496</v>
      </c>
      <c r="H215" s="50" t="s">
        <v>667</v>
      </c>
    </row>
    <row r="216" spans="3:8" x14ac:dyDescent="0.2">
      <c r="C216" s="195">
        <v>44490</v>
      </c>
      <c r="D216" s="55">
        <v>280</v>
      </c>
      <c r="E216" s="55" t="s">
        <v>668</v>
      </c>
      <c r="F216" s="55" t="s">
        <v>231</v>
      </c>
      <c r="G216" s="55" t="s">
        <v>421</v>
      </c>
      <c r="H216" s="50" t="s">
        <v>669</v>
      </c>
    </row>
    <row r="217" spans="3:8" x14ac:dyDescent="0.2">
      <c r="C217" s="195">
        <v>44489</v>
      </c>
      <c r="D217" s="55">
        <v>280</v>
      </c>
      <c r="E217" s="55" t="s">
        <v>670</v>
      </c>
      <c r="F217" s="55" t="s">
        <v>390</v>
      </c>
      <c r="G217" s="55" t="s">
        <v>671</v>
      </c>
      <c r="H217" s="50" t="s">
        <v>672</v>
      </c>
    </row>
    <row r="218" spans="3:8" x14ac:dyDescent="0.2">
      <c r="C218" s="195">
        <v>44496</v>
      </c>
      <c r="D218" s="55">
        <v>260</v>
      </c>
      <c r="E218" s="55" t="s">
        <v>673</v>
      </c>
      <c r="F218" s="55" t="s">
        <v>206</v>
      </c>
      <c r="G218" s="55" t="s">
        <v>214</v>
      </c>
    </row>
    <row r="219" spans="3:8" x14ac:dyDescent="0.2">
      <c r="C219" s="195">
        <v>44494</v>
      </c>
      <c r="D219" s="55">
        <v>260</v>
      </c>
      <c r="E219" s="55" t="s">
        <v>674</v>
      </c>
      <c r="F219" s="55" t="s">
        <v>202</v>
      </c>
      <c r="G219" s="55" t="s">
        <v>344</v>
      </c>
      <c r="H219" s="50" t="s">
        <v>224</v>
      </c>
    </row>
    <row r="220" spans="3:8" x14ac:dyDescent="0.2">
      <c r="C220" s="195">
        <v>44494</v>
      </c>
      <c r="D220" s="55">
        <v>280</v>
      </c>
      <c r="E220" s="55" t="s">
        <v>675</v>
      </c>
      <c r="F220" s="55" t="s">
        <v>206</v>
      </c>
      <c r="G220" s="55" t="s">
        <v>676</v>
      </c>
      <c r="H220" s="50" t="s">
        <v>677</v>
      </c>
    </row>
    <row r="221" spans="3:8" x14ac:dyDescent="0.2">
      <c r="C221" s="195">
        <v>44490</v>
      </c>
      <c r="D221" s="55">
        <v>280</v>
      </c>
      <c r="E221" s="55" t="s">
        <v>678</v>
      </c>
      <c r="F221" s="55" t="s">
        <v>231</v>
      </c>
      <c r="G221" s="55" t="s">
        <v>421</v>
      </c>
      <c r="H221" s="50" t="s">
        <v>679</v>
      </c>
    </row>
    <row r="222" spans="3:8" x14ac:dyDescent="0.2">
      <c r="C222" s="195">
        <v>44498</v>
      </c>
      <c r="D222" s="55">
        <v>260</v>
      </c>
      <c r="E222" s="55" t="s">
        <v>680</v>
      </c>
      <c r="F222" s="55" t="s">
        <v>219</v>
      </c>
      <c r="G222" s="55" t="s">
        <v>220</v>
      </c>
      <c r="H222" s="50" t="s">
        <v>681</v>
      </c>
    </row>
    <row r="223" spans="3:8" x14ac:dyDescent="0.2">
      <c r="C223" s="195">
        <v>44490</v>
      </c>
      <c r="D223" s="55">
        <v>260</v>
      </c>
      <c r="E223" s="55" t="s">
        <v>682</v>
      </c>
      <c r="F223" s="55" t="s">
        <v>272</v>
      </c>
      <c r="G223" s="55" t="s">
        <v>683</v>
      </c>
      <c r="H223" s="50" t="s">
        <v>224</v>
      </c>
    </row>
    <row r="224" spans="3:8" x14ac:dyDescent="0.2">
      <c r="C224" s="195">
        <v>44494</v>
      </c>
      <c r="D224" s="55">
        <v>260</v>
      </c>
      <c r="E224" s="55" t="s">
        <v>684</v>
      </c>
      <c r="F224" s="55" t="s">
        <v>202</v>
      </c>
      <c r="G224" s="55" t="s">
        <v>344</v>
      </c>
      <c r="H224" s="50" t="s">
        <v>685</v>
      </c>
    </row>
    <row r="225" spans="1:9" x14ac:dyDescent="0.2">
      <c r="C225" s="195">
        <v>44490</v>
      </c>
      <c r="D225" s="55">
        <v>280</v>
      </c>
      <c r="E225" s="55" t="s">
        <v>686</v>
      </c>
      <c r="F225" s="55" t="s">
        <v>192</v>
      </c>
      <c r="G225" s="55" t="s">
        <v>640</v>
      </c>
      <c r="H225" s="50" t="s">
        <v>687</v>
      </c>
    </row>
    <row r="226" spans="1:9" x14ac:dyDescent="0.2">
      <c r="C226" s="195">
        <v>44496</v>
      </c>
      <c r="D226" s="55">
        <v>280</v>
      </c>
      <c r="E226" s="55" t="s">
        <v>688</v>
      </c>
      <c r="F226" s="55" t="s">
        <v>196</v>
      </c>
      <c r="G226" s="55" t="s">
        <v>361</v>
      </c>
    </row>
    <row r="227" spans="1:9" x14ac:dyDescent="0.2">
      <c r="C227" s="195">
        <v>44490</v>
      </c>
      <c r="D227" s="55">
        <v>260</v>
      </c>
      <c r="E227" s="55" t="s">
        <v>689</v>
      </c>
      <c r="F227" s="55" t="s">
        <v>272</v>
      </c>
      <c r="G227" s="55" t="s">
        <v>683</v>
      </c>
      <c r="H227" s="50" t="s">
        <v>690</v>
      </c>
    </row>
    <row r="228" spans="1:9" x14ac:dyDescent="0.2">
      <c r="C228" s="195">
        <v>44498</v>
      </c>
      <c r="D228" s="55">
        <v>260</v>
      </c>
      <c r="E228" s="55" t="s">
        <v>691</v>
      </c>
      <c r="F228" s="55" t="s">
        <v>219</v>
      </c>
      <c r="G228" s="55" t="s">
        <v>249</v>
      </c>
      <c r="H228" s="50" t="s">
        <v>224</v>
      </c>
    </row>
    <row r="229" spans="1:9" x14ac:dyDescent="0.2">
      <c r="A229" s="57">
        <v>1021</v>
      </c>
      <c r="B229" t="s">
        <v>836</v>
      </c>
      <c r="C229" s="195">
        <v>44491</v>
      </c>
      <c r="D229" s="55">
        <v>280</v>
      </c>
      <c r="E229" s="55" t="s">
        <v>692</v>
      </c>
      <c r="F229" s="55" t="s">
        <v>263</v>
      </c>
      <c r="G229" s="55" t="s">
        <v>693</v>
      </c>
      <c r="H229" s="50" t="s">
        <v>224</v>
      </c>
      <c r="I229" s="46" t="s">
        <v>837</v>
      </c>
    </row>
    <row r="230" spans="1:9" x14ac:dyDescent="0.2">
      <c r="C230" s="195">
        <v>44491</v>
      </c>
      <c r="D230" s="55">
        <v>280</v>
      </c>
      <c r="E230" s="55" t="s">
        <v>694</v>
      </c>
      <c r="F230" s="55" t="s">
        <v>231</v>
      </c>
      <c r="G230" s="55" t="s">
        <v>435</v>
      </c>
    </row>
    <row r="231" spans="1:9" x14ac:dyDescent="0.2">
      <c r="C231" s="195">
        <v>44494</v>
      </c>
      <c r="D231" s="55">
        <v>280</v>
      </c>
      <c r="E231" s="55" t="s">
        <v>695</v>
      </c>
      <c r="F231" s="55" t="s">
        <v>244</v>
      </c>
      <c r="G231" s="55" t="s">
        <v>696</v>
      </c>
      <c r="H231" s="50" t="s">
        <v>224</v>
      </c>
    </row>
    <row r="232" spans="1:9" x14ac:dyDescent="0.2">
      <c r="C232" s="195">
        <v>44496</v>
      </c>
      <c r="D232" s="55">
        <v>260</v>
      </c>
      <c r="E232" s="55" t="s">
        <v>697</v>
      </c>
      <c r="F232" s="55" t="s">
        <v>196</v>
      </c>
      <c r="G232" s="55" t="s">
        <v>349</v>
      </c>
    </row>
    <row r="233" spans="1:9" x14ac:dyDescent="0.2">
      <c r="C233" s="195">
        <v>44494</v>
      </c>
      <c r="D233" s="55">
        <v>260</v>
      </c>
      <c r="E233" s="55" t="s">
        <v>698</v>
      </c>
      <c r="F233" s="55" t="s">
        <v>202</v>
      </c>
      <c r="G233" s="55" t="s">
        <v>302</v>
      </c>
      <c r="H233" s="50" t="s">
        <v>224</v>
      </c>
    </row>
    <row r="234" spans="1:9" x14ac:dyDescent="0.2">
      <c r="C234" s="195">
        <v>44494</v>
      </c>
      <c r="D234" s="55">
        <v>280</v>
      </c>
      <c r="E234" s="55" t="s">
        <v>699</v>
      </c>
      <c r="F234" s="55" t="s">
        <v>202</v>
      </c>
      <c r="G234" s="55" t="s">
        <v>344</v>
      </c>
    </row>
    <row r="235" spans="1:9" x14ac:dyDescent="0.2">
      <c r="C235" s="195">
        <v>44495</v>
      </c>
      <c r="D235" s="55">
        <v>260</v>
      </c>
      <c r="E235" s="55" t="s">
        <v>700</v>
      </c>
      <c r="F235" s="55" t="s">
        <v>196</v>
      </c>
      <c r="G235" s="55" t="s">
        <v>197</v>
      </c>
      <c r="H235" s="50" t="s">
        <v>224</v>
      </c>
    </row>
    <row r="236" spans="1:9" x14ac:dyDescent="0.2">
      <c r="C236" s="195">
        <v>44494</v>
      </c>
      <c r="D236" s="55">
        <v>280</v>
      </c>
      <c r="E236" s="55" t="s">
        <v>701</v>
      </c>
      <c r="F236" s="55" t="s">
        <v>202</v>
      </c>
      <c r="G236" s="55" t="s">
        <v>344</v>
      </c>
      <c r="H236" s="50" t="s">
        <v>702</v>
      </c>
    </row>
    <row r="237" spans="1:9" x14ac:dyDescent="0.2">
      <c r="C237" s="195">
        <v>44494</v>
      </c>
      <c r="D237" s="55">
        <v>280</v>
      </c>
      <c r="E237" s="55" t="s">
        <v>703</v>
      </c>
      <c r="F237" s="55" t="s">
        <v>202</v>
      </c>
      <c r="G237" s="55" t="s">
        <v>344</v>
      </c>
      <c r="H237" s="50" t="s">
        <v>224</v>
      </c>
    </row>
    <row r="238" spans="1:9" x14ac:dyDescent="0.2">
      <c r="C238" s="195">
        <v>44494</v>
      </c>
      <c r="D238" s="55">
        <v>280</v>
      </c>
      <c r="E238" s="55" t="s">
        <v>704</v>
      </c>
      <c r="F238" s="55" t="s">
        <v>263</v>
      </c>
      <c r="G238" s="55" t="s">
        <v>705</v>
      </c>
      <c r="H238" s="50" t="s">
        <v>706</v>
      </c>
    </row>
    <row r="239" spans="1:9" x14ac:dyDescent="0.2">
      <c r="C239" s="195">
        <v>44494</v>
      </c>
      <c r="D239" s="55">
        <v>280</v>
      </c>
      <c r="E239" s="55" t="s">
        <v>707</v>
      </c>
      <c r="F239" s="55" t="s">
        <v>267</v>
      </c>
      <c r="G239" s="55" t="s">
        <v>708</v>
      </c>
      <c r="H239" s="50" t="s">
        <v>224</v>
      </c>
    </row>
    <row r="240" spans="1:9" x14ac:dyDescent="0.2">
      <c r="C240" s="195">
        <v>44494</v>
      </c>
      <c r="D240" s="55">
        <v>280</v>
      </c>
      <c r="E240" s="55" t="s">
        <v>709</v>
      </c>
      <c r="F240" s="55" t="s">
        <v>202</v>
      </c>
      <c r="G240" s="55" t="s">
        <v>341</v>
      </c>
      <c r="H240" s="50" t="s">
        <v>224</v>
      </c>
    </row>
    <row r="241" spans="1:62" x14ac:dyDescent="0.2">
      <c r="C241" s="195">
        <v>44494</v>
      </c>
      <c r="D241" s="55">
        <v>280</v>
      </c>
      <c r="E241" s="55" t="s">
        <v>710</v>
      </c>
      <c r="F241" s="55" t="s">
        <v>196</v>
      </c>
      <c r="G241" s="55" t="s">
        <v>415</v>
      </c>
      <c r="H241" s="50" t="s">
        <v>711</v>
      </c>
    </row>
    <row r="242" spans="1:62" x14ac:dyDescent="0.2">
      <c r="A242" s="57">
        <v>1021</v>
      </c>
      <c r="B242" s="162" t="s">
        <v>836</v>
      </c>
      <c r="C242" s="195">
        <v>44494</v>
      </c>
      <c r="D242" s="55">
        <v>260</v>
      </c>
      <c r="E242" s="55" t="s">
        <v>712</v>
      </c>
      <c r="F242" s="55" t="s">
        <v>390</v>
      </c>
      <c r="G242" s="55" t="s">
        <v>590</v>
      </c>
      <c r="I242" s="46" t="s">
        <v>839</v>
      </c>
      <c r="J242" s="52">
        <v>1</v>
      </c>
      <c r="K242" s="52">
        <v>1</v>
      </c>
      <c r="O242" s="1">
        <v>1</v>
      </c>
      <c r="S242" s="1">
        <v>1</v>
      </c>
      <c r="W242" s="1">
        <v>1</v>
      </c>
      <c r="AA242" s="1">
        <v>1</v>
      </c>
      <c r="AG242">
        <v>1</v>
      </c>
      <c r="AM242">
        <v>1</v>
      </c>
      <c r="AN242">
        <v>1</v>
      </c>
      <c r="AO242">
        <v>1</v>
      </c>
      <c r="AP242">
        <v>1</v>
      </c>
      <c r="AQ242">
        <v>1</v>
      </c>
      <c r="AR242">
        <v>1</v>
      </c>
      <c r="AS242">
        <v>1</v>
      </c>
      <c r="AT242">
        <v>1</v>
      </c>
      <c r="AU242">
        <v>1</v>
      </c>
      <c r="AZ242">
        <v>1</v>
      </c>
      <c r="BA242">
        <v>1</v>
      </c>
      <c r="BB242">
        <v>1</v>
      </c>
      <c r="BC242">
        <v>1</v>
      </c>
      <c r="BD242">
        <v>1</v>
      </c>
      <c r="BE242">
        <v>1</v>
      </c>
      <c r="BJ242">
        <v>1</v>
      </c>
    </row>
    <row r="243" spans="1:62" x14ac:dyDescent="0.2">
      <c r="C243" s="195">
        <v>44494</v>
      </c>
      <c r="D243" s="55">
        <v>280</v>
      </c>
      <c r="E243" s="55" t="s">
        <v>713</v>
      </c>
      <c r="F243" s="55" t="s">
        <v>210</v>
      </c>
      <c r="G243" s="55" t="s">
        <v>418</v>
      </c>
      <c r="H243" s="50" t="s">
        <v>714</v>
      </c>
    </row>
    <row r="244" spans="1:62" x14ac:dyDescent="0.2">
      <c r="C244" s="195">
        <v>44494</v>
      </c>
      <c r="D244" s="55">
        <v>260</v>
      </c>
      <c r="E244" s="55" t="s">
        <v>715</v>
      </c>
      <c r="F244" s="55" t="s">
        <v>202</v>
      </c>
      <c r="G244" s="55" t="s">
        <v>344</v>
      </c>
      <c r="H244" s="50" t="s">
        <v>716</v>
      </c>
    </row>
    <row r="245" spans="1:62" x14ac:dyDescent="0.2">
      <c r="C245" s="195">
        <v>44494</v>
      </c>
      <c r="D245" s="55">
        <v>260</v>
      </c>
      <c r="E245" s="55" t="s">
        <v>717</v>
      </c>
      <c r="F245" s="55" t="s">
        <v>390</v>
      </c>
      <c r="G245" s="55" t="s">
        <v>408</v>
      </c>
      <c r="H245" s="50" t="s">
        <v>718</v>
      </c>
    </row>
    <row r="246" spans="1:62" x14ac:dyDescent="0.2">
      <c r="C246" s="195">
        <v>44494</v>
      </c>
      <c r="D246" s="55">
        <v>280</v>
      </c>
      <c r="E246" s="55" t="s">
        <v>719</v>
      </c>
      <c r="F246" s="55" t="s">
        <v>390</v>
      </c>
      <c r="G246" s="55" t="s">
        <v>590</v>
      </c>
      <c r="H246" s="50" t="s">
        <v>720</v>
      </c>
    </row>
    <row r="247" spans="1:62" x14ac:dyDescent="0.2">
      <c r="C247" s="195">
        <v>44494</v>
      </c>
      <c r="D247" s="55">
        <v>280</v>
      </c>
      <c r="E247" s="55" t="s">
        <v>721</v>
      </c>
      <c r="F247" s="55" t="s">
        <v>263</v>
      </c>
      <c r="G247" s="55" t="s">
        <v>705</v>
      </c>
      <c r="H247" s="50" t="s">
        <v>722</v>
      </c>
    </row>
    <row r="248" spans="1:62" x14ac:dyDescent="0.2">
      <c r="A248" s="57">
        <v>1021</v>
      </c>
      <c r="B248" t="s">
        <v>836</v>
      </c>
      <c r="C248" s="195">
        <v>44494</v>
      </c>
      <c r="D248" s="55">
        <v>280</v>
      </c>
      <c r="E248" s="55" t="s">
        <v>723</v>
      </c>
      <c r="F248" s="55" t="s">
        <v>263</v>
      </c>
      <c r="G248" s="55" t="s">
        <v>506</v>
      </c>
      <c r="H248" s="50" t="s">
        <v>224</v>
      </c>
      <c r="I248" s="46" t="s">
        <v>837</v>
      </c>
    </row>
    <row r="249" spans="1:62" x14ac:dyDescent="0.2">
      <c r="A249" s="57">
        <v>1021</v>
      </c>
      <c r="B249" t="s">
        <v>836</v>
      </c>
      <c r="C249" s="195">
        <v>44494</v>
      </c>
      <c r="D249" s="55">
        <v>280</v>
      </c>
      <c r="E249" s="55" t="s">
        <v>724</v>
      </c>
      <c r="F249" s="55" t="s">
        <v>231</v>
      </c>
      <c r="G249" s="55" t="s">
        <v>371</v>
      </c>
      <c r="H249" s="50" t="s">
        <v>224</v>
      </c>
      <c r="I249" s="46" t="s">
        <v>837</v>
      </c>
    </row>
    <row r="250" spans="1:62" x14ac:dyDescent="0.2">
      <c r="C250" s="195">
        <v>44494</v>
      </c>
      <c r="D250" s="55">
        <v>280</v>
      </c>
      <c r="E250" s="55" t="s">
        <v>725</v>
      </c>
      <c r="F250" s="55" t="s">
        <v>263</v>
      </c>
      <c r="G250" s="55" t="s">
        <v>506</v>
      </c>
      <c r="H250" s="50" t="s">
        <v>224</v>
      </c>
    </row>
    <row r="251" spans="1:62" x14ac:dyDescent="0.2">
      <c r="C251" s="195">
        <v>44494</v>
      </c>
      <c r="D251" s="55">
        <v>280</v>
      </c>
      <c r="E251" s="55" t="s">
        <v>726</v>
      </c>
      <c r="F251" s="55" t="s">
        <v>202</v>
      </c>
      <c r="G251" s="55" t="s">
        <v>341</v>
      </c>
      <c r="H251" s="50" t="s">
        <v>727</v>
      </c>
    </row>
    <row r="252" spans="1:62" x14ac:dyDescent="0.2">
      <c r="C252" s="195">
        <v>44495</v>
      </c>
      <c r="D252" s="55">
        <v>280</v>
      </c>
      <c r="E252" s="55" t="s">
        <v>728</v>
      </c>
      <c r="F252" s="55" t="s">
        <v>210</v>
      </c>
      <c r="G252" s="55" t="s">
        <v>418</v>
      </c>
      <c r="H252" s="50" t="s">
        <v>729</v>
      </c>
    </row>
    <row r="253" spans="1:62" x14ac:dyDescent="0.2">
      <c r="C253" s="195">
        <v>44495</v>
      </c>
      <c r="D253" s="55">
        <v>260</v>
      </c>
      <c r="E253" s="55" t="s">
        <v>730</v>
      </c>
      <c r="F253" s="55" t="s">
        <v>291</v>
      </c>
      <c r="G253" s="55" t="s">
        <v>607</v>
      </c>
      <c r="H253" s="50" t="s">
        <v>731</v>
      </c>
    </row>
    <row r="254" spans="1:62" x14ac:dyDescent="0.2">
      <c r="C254" s="195">
        <v>44494</v>
      </c>
      <c r="D254" s="55">
        <v>260</v>
      </c>
      <c r="E254" s="55" t="s">
        <v>732</v>
      </c>
      <c r="F254" s="55" t="s">
        <v>202</v>
      </c>
      <c r="G254" s="55" t="s">
        <v>344</v>
      </c>
    </row>
    <row r="255" spans="1:62" x14ac:dyDescent="0.2">
      <c r="C255" s="195">
        <v>44494</v>
      </c>
      <c r="D255" s="55">
        <v>260</v>
      </c>
      <c r="E255" s="55" t="s">
        <v>733</v>
      </c>
      <c r="F255" s="55" t="s">
        <v>267</v>
      </c>
      <c r="G255" s="55" t="s">
        <v>442</v>
      </c>
      <c r="H255" s="50" t="s">
        <v>734</v>
      </c>
    </row>
    <row r="256" spans="1:62" x14ac:dyDescent="0.2">
      <c r="C256" s="195">
        <v>44494</v>
      </c>
      <c r="D256" s="55">
        <v>280</v>
      </c>
      <c r="E256" s="55" t="s">
        <v>735</v>
      </c>
      <c r="F256" s="55" t="s">
        <v>210</v>
      </c>
      <c r="G256" s="55" t="s">
        <v>418</v>
      </c>
      <c r="H256" s="50" t="s">
        <v>736</v>
      </c>
    </row>
    <row r="257" spans="3:8" x14ac:dyDescent="0.2">
      <c r="C257" s="195">
        <v>44494</v>
      </c>
      <c r="D257" s="55">
        <v>280</v>
      </c>
      <c r="E257" s="55" t="s">
        <v>737</v>
      </c>
      <c r="F257" s="55" t="s">
        <v>231</v>
      </c>
      <c r="G257" s="55" t="s">
        <v>371</v>
      </c>
      <c r="H257" s="50" t="s">
        <v>738</v>
      </c>
    </row>
    <row r="258" spans="3:8" x14ac:dyDescent="0.2">
      <c r="C258" s="195">
        <v>44494</v>
      </c>
      <c r="D258" s="55">
        <v>280</v>
      </c>
      <c r="E258" s="55" t="s">
        <v>739</v>
      </c>
      <c r="F258" s="55" t="s">
        <v>202</v>
      </c>
      <c r="G258" s="55" t="s">
        <v>302</v>
      </c>
      <c r="H258" s="50" t="s">
        <v>740</v>
      </c>
    </row>
    <row r="259" spans="3:8" x14ac:dyDescent="0.2">
      <c r="C259" s="195">
        <v>44494</v>
      </c>
      <c r="D259" s="55">
        <v>260</v>
      </c>
      <c r="E259" s="55" t="s">
        <v>741</v>
      </c>
      <c r="F259" s="55" t="s">
        <v>267</v>
      </c>
      <c r="G259" s="55" t="s">
        <v>442</v>
      </c>
      <c r="H259" s="50" t="s">
        <v>742</v>
      </c>
    </row>
    <row r="260" spans="3:8" x14ac:dyDescent="0.2">
      <c r="C260" s="195">
        <v>44496</v>
      </c>
      <c r="D260" s="55">
        <v>280</v>
      </c>
      <c r="E260" s="55" t="s">
        <v>743</v>
      </c>
      <c r="F260" s="55" t="s">
        <v>244</v>
      </c>
      <c r="G260" s="55" t="s">
        <v>696</v>
      </c>
      <c r="H260" s="50" t="s">
        <v>744</v>
      </c>
    </row>
    <row r="261" spans="3:8" x14ac:dyDescent="0.2">
      <c r="C261" s="195">
        <v>44495</v>
      </c>
      <c r="D261" s="55">
        <v>280</v>
      </c>
      <c r="E261" s="55" t="s">
        <v>745</v>
      </c>
      <c r="F261" s="55" t="s">
        <v>267</v>
      </c>
      <c r="G261" s="55" t="s">
        <v>357</v>
      </c>
      <c r="H261" s="50" t="s">
        <v>224</v>
      </c>
    </row>
    <row r="262" spans="3:8" x14ac:dyDescent="0.2">
      <c r="C262" s="195">
        <v>44495</v>
      </c>
      <c r="D262" s="55">
        <v>260</v>
      </c>
      <c r="E262" s="55" t="s">
        <v>746</v>
      </c>
      <c r="F262" s="55" t="s">
        <v>291</v>
      </c>
      <c r="G262" s="55" t="s">
        <v>607</v>
      </c>
      <c r="H262" s="50" t="s">
        <v>747</v>
      </c>
    </row>
    <row r="263" spans="3:8" x14ac:dyDescent="0.2">
      <c r="C263" s="195">
        <v>44495</v>
      </c>
      <c r="D263" s="55">
        <v>280</v>
      </c>
      <c r="E263" s="55" t="s">
        <v>748</v>
      </c>
      <c r="F263" s="55" t="s">
        <v>291</v>
      </c>
      <c r="G263" s="55" t="s">
        <v>643</v>
      </c>
      <c r="H263" s="50" t="s">
        <v>749</v>
      </c>
    </row>
    <row r="264" spans="3:8" x14ac:dyDescent="0.2">
      <c r="C264" s="195">
        <v>44495</v>
      </c>
      <c r="D264" s="55">
        <v>280</v>
      </c>
      <c r="E264" s="55" t="s">
        <v>750</v>
      </c>
      <c r="F264" s="55" t="s">
        <v>291</v>
      </c>
      <c r="G264" s="55" t="s">
        <v>480</v>
      </c>
    </row>
    <row r="265" spans="3:8" x14ac:dyDescent="0.2">
      <c r="C265" s="195">
        <v>44495</v>
      </c>
      <c r="D265" s="55">
        <v>280</v>
      </c>
      <c r="E265" s="55" t="s">
        <v>751</v>
      </c>
      <c r="F265" s="55" t="s">
        <v>231</v>
      </c>
      <c r="G265" s="55" t="s">
        <v>387</v>
      </c>
      <c r="H265" s="50" t="s">
        <v>752</v>
      </c>
    </row>
    <row r="266" spans="3:8" x14ac:dyDescent="0.2">
      <c r="C266" s="195">
        <v>44495</v>
      </c>
      <c r="D266" s="55">
        <v>260</v>
      </c>
      <c r="E266" s="55" t="s">
        <v>753</v>
      </c>
      <c r="F266" s="55" t="s">
        <v>267</v>
      </c>
      <c r="G266" s="55" t="s">
        <v>708</v>
      </c>
      <c r="H266" s="50" t="s">
        <v>754</v>
      </c>
    </row>
    <row r="267" spans="3:8" x14ac:dyDescent="0.2">
      <c r="C267" s="195">
        <v>44495</v>
      </c>
      <c r="D267" s="55">
        <v>280</v>
      </c>
      <c r="E267" s="55" t="s">
        <v>755</v>
      </c>
      <c r="F267" s="55" t="s">
        <v>272</v>
      </c>
      <c r="G267" s="55" t="s">
        <v>683</v>
      </c>
      <c r="H267" s="50" t="s">
        <v>756</v>
      </c>
    </row>
    <row r="268" spans="3:8" x14ac:dyDescent="0.2">
      <c r="C268" s="195">
        <v>44498</v>
      </c>
      <c r="D268" s="55">
        <v>280</v>
      </c>
      <c r="E268" s="55" t="s">
        <v>757</v>
      </c>
      <c r="F268" s="55" t="s">
        <v>206</v>
      </c>
      <c r="G268" s="55" t="s">
        <v>758</v>
      </c>
      <c r="H268" s="50" t="s">
        <v>759</v>
      </c>
    </row>
    <row r="269" spans="3:8" x14ac:dyDescent="0.2">
      <c r="C269" s="195">
        <v>44496</v>
      </c>
      <c r="D269" s="55">
        <v>260</v>
      </c>
      <c r="E269" s="55" t="s">
        <v>760</v>
      </c>
      <c r="F269" s="55" t="s">
        <v>390</v>
      </c>
      <c r="G269" s="55" t="s">
        <v>391</v>
      </c>
      <c r="H269" s="50" t="s">
        <v>761</v>
      </c>
    </row>
    <row r="270" spans="3:8" x14ac:dyDescent="0.2">
      <c r="C270" s="195">
        <v>44498</v>
      </c>
      <c r="D270" s="55">
        <v>260</v>
      </c>
      <c r="E270" s="55" t="s">
        <v>762</v>
      </c>
      <c r="F270" s="55" t="s">
        <v>210</v>
      </c>
      <c r="G270" s="55" t="s">
        <v>211</v>
      </c>
      <c r="H270" s="50" t="s">
        <v>763</v>
      </c>
    </row>
    <row r="271" spans="3:8" x14ac:dyDescent="0.2">
      <c r="C271" s="195">
        <v>44496</v>
      </c>
      <c r="D271" s="55">
        <v>280</v>
      </c>
      <c r="E271" s="55" t="s">
        <v>764</v>
      </c>
      <c r="F271" s="55" t="s">
        <v>210</v>
      </c>
      <c r="G271" s="55" t="s">
        <v>406</v>
      </c>
      <c r="H271" s="50" t="s">
        <v>224</v>
      </c>
    </row>
    <row r="272" spans="3:8" x14ac:dyDescent="0.2">
      <c r="C272" s="195">
        <v>44496</v>
      </c>
      <c r="D272" s="55">
        <v>280</v>
      </c>
      <c r="E272" s="55" t="s">
        <v>765</v>
      </c>
      <c r="F272" s="55" t="s">
        <v>263</v>
      </c>
      <c r="G272" s="55" t="s">
        <v>633</v>
      </c>
      <c r="H272" s="50" t="s">
        <v>224</v>
      </c>
    </row>
    <row r="273" spans="3:8" x14ac:dyDescent="0.2">
      <c r="C273" s="195">
        <v>44497</v>
      </c>
      <c r="D273" s="55">
        <v>280</v>
      </c>
      <c r="E273" s="55" t="s">
        <v>766</v>
      </c>
      <c r="F273" s="55" t="s">
        <v>244</v>
      </c>
      <c r="G273" s="55" t="s">
        <v>767</v>
      </c>
      <c r="H273" s="50" t="s">
        <v>768</v>
      </c>
    </row>
    <row r="274" spans="3:8" x14ac:dyDescent="0.2">
      <c r="C274" s="195">
        <v>44496</v>
      </c>
      <c r="D274" s="55">
        <v>280</v>
      </c>
      <c r="E274" s="55" t="s">
        <v>769</v>
      </c>
      <c r="F274" s="55" t="s">
        <v>231</v>
      </c>
      <c r="G274" s="55" t="s">
        <v>435</v>
      </c>
      <c r="H274" s="50" t="s">
        <v>770</v>
      </c>
    </row>
    <row r="275" spans="3:8" x14ac:dyDescent="0.2">
      <c r="C275" s="195">
        <v>44496</v>
      </c>
      <c r="D275" s="55">
        <v>260</v>
      </c>
      <c r="E275" s="55" t="s">
        <v>771</v>
      </c>
      <c r="F275" s="55" t="s">
        <v>192</v>
      </c>
      <c r="G275" s="55" t="s">
        <v>640</v>
      </c>
      <c r="H275" s="50" t="s">
        <v>772</v>
      </c>
    </row>
    <row r="276" spans="3:8" x14ac:dyDescent="0.2">
      <c r="C276" s="195">
        <v>44496</v>
      </c>
      <c r="D276" s="55">
        <v>260</v>
      </c>
      <c r="E276" s="55" t="s">
        <v>773</v>
      </c>
      <c r="F276" s="55" t="s">
        <v>202</v>
      </c>
      <c r="G276" s="55" t="s">
        <v>302</v>
      </c>
      <c r="H276" s="50" t="s">
        <v>774</v>
      </c>
    </row>
    <row r="277" spans="3:8" x14ac:dyDescent="0.2">
      <c r="C277" s="195">
        <v>44498</v>
      </c>
      <c r="D277" s="55">
        <v>260</v>
      </c>
      <c r="E277" s="55" t="s">
        <v>775</v>
      </c>
      <c r="F277" s="55" t="s">
        <v>390</v>
      </c>
      <c r="G277" s="55" t="s">
        <v>408</v>
      </c>
    </row>
    <row r="278" spans="3:8" x14ac:dyDescent="0.2">
      <c r="C278" s="195">
        <v>44497</v>
      </c>
      <c r="D278" s="55">
        <v>280</v>
      </c>
      <c r="E278" s="55" t="s">
        <v>776</v>
      </c>
      <c r="F278" s="55" t="s">
        <v>390</v>
      </c>
      <c r="G278" s="55" t="s">
        <v>590</v>
      </c>
      <c r="H278" s="50" t="s">
        <v>777</v>
      </c>
    </row>
    <row r="279" spans="3:8" x14ac:dyDescent="0.2">
      <c r="C279" s="195">
        <v>44496</v>
      </c>
      <c r="D279" s="55">
        <v>280</v>
      </c>
      <c r="E279" s="55" t="s">
        <v>778</v>
      </c>
      <c r="F279" s="55" t="s">
        <v>390</v>
      </c>
      <c r="G279" s="55" t="s">
        <v>779</v>
      </c>
      <c r="H279" s="50" t="s">
        <v>780</v>
      </c>
    </row>
    <row r="280" spans="3:8" x14ac:dyDescent="0.2">
      <c r="C280" s="195">
        <v>44496</v>
      </c>
      <c r="D280" s="55">
        <v>280</v>
      </c>
      <c r="E280" s="55" t="s">
        <v>781</v>
      </c>
      <c r="F280" s="55" t="s">
        <v>231</v>
      </c>
      <c r="G280" s="55" t="s">
        <v>782</v>
      </c>
      <c r="H280" s="50" t="s">
        <v>783</v>
      </c>
    </row>
    <row r="281" spans="3:8" x14ac:dyDescent="0.2">
      <c r="C281" s="195">
        <v>44496</v>
      </c>
      <c r="D281" s="55">
        <v>280</v>
      </c>
      <c r="E281" s="55" t="s">
        <v>784</v>
      </c>
      <c r="F281" s="55" t="s">
        <v>291</v>
      </c>
      <c r="G281" s="55" t="s">
        <v>466</v>
      </c>
      <c r="H281" s="50" t="s">
        <v>785</v>
      </c>
    </row>
    <row r="282" spans="3:8" x14ac:dyDescent="0.2">
      <c r="C282" s="195">
        <v>44496</v>
      </c>
      <c r="D282" s="55">
        <v>280</v>
      </c>
      <c r="E282" s="55" t="s">
        <v>786</v>
      </c>
      <c r="F282" s="55" t="s">
        <v>210</v>
      </c>
      <c r="G282" s="55" t="s">
        <v>406</v>
      </c>
      <c r="H282" s="50" t="s">
        <v>224</v>
      </c>
    </row>
    <row r="283" spans="3:8" x14ac:dyDescent="0.2">
      <c r="C283" s="195">
        <v>44497</v>
      </c>
      <c r="D283" s="55">
        <v>260</v>
      </c>
      <c r="E283" s="55" t="s">
        <v>787</v>
      </c>
      <c r="F283" s="55" t="s">
        <v>231</v>
      </c>
      <c r="G283" s="55" t="s">
        <v>435</v>
      </c>
      <c r="H283" s="50" t="s">
        <v>788</v>
      </c>
    </row>
    <row r="284" spans="3:8" x14ac:dyDescent="0.2">
      <c r="C284" s="195">
        <v>44497</v>
      </c>
      <c r="D284" s="55">
        <v>260</v>
      </c>
      <c r="E284" s="55" t="s">
        <v>789</v>
      </c>
      <c r="F284" s="55" t="s">
        <v>202</v>
      </c>
      <c r="G284" s="55" t="s">
        <v>276</v>
      </c>
      <c r="H284" s="50" t="s">
        <v>790</v>
      </c>
    </row>
    <row r="285" spans="3:8" x14ac:dyDescent="0.2">
      <c r="C285" s="195">
        <v>44498</v>
      </c>
      <c r="D285" s="55">
        <v>260</v>
      </c>
      <c r="E285" s="55" t="s">
        <v>791</v>
      </c>
      <c r="F285" s="55" t="s">
        <v>272</v>
      </c>
      <c r="G285" s="55" t="s">
        <v>273</v>
      </c>
      <c r="H285" s="50" t="s">
        <v>792</v>
      </c>
    </row>
    <row r="286" spans="3:8" x14ac:dyDescent="0.2">
      <c r="C286" s="195">
        <v>44498</v>
      </c>
      <c r="D286" s="55">
        <v>280</v>
      </c>
      <c r="E286" s="55" t="s">
        <v>793</v>
      </c>
      <c r="F286" s="55" t="s">
        <v>210</v>
      </c>
      <c r="G286" s="55" t="s">
        <v>306</v>
      </c>
      <c r="H286" s="50" t="s">
        <v>794</v>
      </c>
    </row>
    <row r="287" spans="3:8" x14ac:dyDescent="0.2">
      <c r="C287" s="195">
        <v>44497</v>
      </c>
      <c r="D287" s="55">
        <v>280</v>
      </c>
      <c r="E287" s="55" t="s">
        <v>795</v>
      </c>
      <c r="F287" s="55" t="s">
        <v>390</v>
      </c>
      <c r="G287" s="55" t="s">
        <v>671</v>
      </c>
      <c r="H287" s="50" t="s">
        <v>796</v>
      </c>
    </row>
    <row r="288" spans="3:8" x14ac:dyDescent="0.2">
      <c r="C288" s="195">
        <v>44497</v>
      </c>
      <c r="D288" s="55">
        <v>280</v>
      </c>
      <c r="E288" s="55" t="s">
        <v>797</v>
      </c>
      <c r="F288" s="55" t="s">
        <v>263</v>
      </c>
      <c r="G288" s="55" t="s">
        <v>426</v>
      </c>
    </row>
    <row r="289" spans="1:62" x14ac:dyDescent="0.2">
      <c r="C289" s="195">
        <v>44497</v>
      </c>
      <c r="D289" s="55">
        <v>260</v>
      </c>
      <c r="E289" s="55" t="s">
        <v>798</v>
      </c>
      <c r="F289" s="55" t="s">
        <v>263</v>
      </c>
      <c r="G289" s="55" t="s">
        <v>413</v>
      </c>
      <c r="H289" s="50" t="s">
        <v>799</v>
      </c>
    </row>
    <row r="290" spans="1:62" x14ac:dyDescent="0.2">
      <c r="C290" s="195">
        <v>44497</v>
      </c>
      <c r="D290" s="55">
        <v>280</v>
      </c>
      <c r="E290" s="55" t="s">
        <v>800</v>
      </c>
      <c r="F290" s="55" t="s">
        <v>272</v>
      </c>
      <c r="G290" s="55" t="s">
        <v>273</v>
      </c>
      <c r="H290" s="50" t="s">
        <v>224</v>
      </c>
    </row>
    <row r="291" spans="1:62" x14ac:dyDescent="0.2">
      <c r="C291" s="195">
        <v>44497</v>
      </c>
      <c r="D291" s="55">
        <v>260</v>
      </c>
      <c r="E291" s="55" t="s">
        <v>801</v>
      </c>
      <c r="F291" s="55" t="s">
        <v>390</v>
      </c>
      <c r="G291" s="55" t="s">
        <v>779</v>
      </c>
      <c r="H291" s="50" t="s">
        <v>802</v>
      </c>
    </row>
    <row r="292" spans="1:62" x14ac:dyDescent="0.2">
      <c r="C292" s="195">
        <v>44497</v>
      </c>
      <c r="D292" s="55">
        <v>280</v>
      </c>
      <c r="E292" s="55" t="s">
        <v>803</v>
      </c>
      <c r="F292" s="55" t="s">
        <v>272</v>
      </c>
      <c r="G292" s="55" t="s">
        <v>273</v>
      </c>
      <c r="H292" s="50" t="s">
        <v>804</v>
      </c>
    </row>
    <row r="293" spans="1:62" x14ac:dyDescent="0.2">
      <c r="C293" s="195">
        <v>44497</v>
      </c>
      <c r="D293" s="55">
        <v>280</v>
      </c>
      <c r="E293" s="55" t="s">
        <v>805</v>
      </c>
      <c r="F293" s="55" t="s">
        <v>263</v>
      </c>
      <c r="G293" s="55" t="s">
        <v>806</v>
      </c>
      <c r="H293" s="50" t="s">
        <v>807</v>
      </c>
    </row>
    <row r="294" spans="1:62" x14ac:dyDescent="0.2">
      <c r="C294" s="195">
        <v>44497</v>
      </c>
      <c r="D294" s="55">
        <v>280</v>
      </c>
      <c r="E294" s="55" t="s">
        <v>808</v>
      </c>
      <c r="F294" s="55" t="s">
        <v>210</v>
      </c>
      <c r="G294" s="55" t="s">
        <v>496</v>
      </c>
      <c r="H294" s="50" t="s">
        <v>809</v>
      </c>
    </row>
    <row r="295" spans="1:62" x14ac:dyDescent="0.2">
      <c r="A295" s="57">
        <v>1021</v>
      </c>
      <c r="B295" s="162" t="s">
        <v>836</v>
      </c>
      <c r="C295" s="195">
        <v>44497</v>
      </c>
      <c r="D295" s="55">
        <v>260</v>
      </c>
      <c r="E295" s="55" t="s">
        <v>810</v>
      </c>
      <c r="F295" s="55" t="s">
        <v>272</v>
      </c>
      <c r="G295" s="55" t="s">
        <v>273</v>
      </c>
      <c r="H295" s="50" t="s">
        <v>811</v>
      </c>
      <c r="I295" s="46" t="s">
        <v>839</v>
      </c>
      <c r="J295" s="52">
        <v>1</v>
      </c>
      <c r="K295" s="52">
        <v>1</v>
      </c>
      <c r="O295" s="1">
        <v>1</v>
      </c>
      <c r="S295" s="1">
        <v>1</v>
      </c>
      <c r="W295" s="1">
        <v>1</v>
      </c>
      <c r="AA295" s="1">
        <v>2</v>
      </c>
      <c r="AG295">
        <v>1</v>
      </c>
      <c r="AM295">
        <v>4</v>
      </c>
      <c r="AS295">
        <v>4</v>
      </c>
      <c r="AT295">
        <v>1</v>
      </c>
      <c r="AU295">
        <v>2</v>
      </c>
      <c r="AZ295">
        <v>1</v>
      </c>
      <c r="BA295">
        <v>1</v>
      </c>
      <c r="BB295">
        <v>1</v>
      </c>
      <c r="BC295">
        <v>1</v>
      </c>
      <c r="BD295">
        <v>1</v>
      </c>
      <c r="BE295">
        <v>1</v>
      </c>
      <c r="BJ295">
        <v>1</v>
      </c>
    </row>
    <row r="296" spans="1:62" x14ac:dyDescent="0.2">
      <c r="C296" s="195">
        <v>44498</v>
      </c>
      <c r="D296" s="55">
        <v>260</v>
      </c>
      <c r="E296" s="55" t="s">
        <v>812</v>
      </c>
      <c r="F296" s="55" t="s">
        <v>267</v>
      </c>
      <c r="G296" s="55" t="s">
        <v>813</v>
      </c>
      <c r="H296" s="50" t="s">
        <v>224</v>
      </c>
    </row>
    <row r="297" spans="1:62" x14ac:dyDescent="0.2">
      <c r="C297" s="195">
        <v>44498</v>
      </c>
      <c r="D297" s="55">
        <v>280</v>
      </c>
      <c r="E297" s="55" t="s">
        <v>814</v>
      </c>
      <c r="F297" s="55" t="s">
        <v>231</v>
      </c>
      <c r="G297" s="55" t="s">
        <v>648</v>
      </c>
      <c r="H297" s="50" t="s">
        <v>224</v>
      </c>
    </row>
    <row r="298" spans="1:62" x14ac:dyDescent="0.2">
      <c r="C298" s="195">
        <v>44498</v>
      </c>
      <c r="D298" s="55">
        <v>280</v>
      </c>
      <c r="E298" s="55" t="s">
        <v>815</v>
      </c>
      <c r="F298" s="55" t="s">
        <v>231</v>
      </c>
      <c r="G298" s="55" t="s">
        <v>371</v>
      </c>
      <c r="H298" s="50" t="s">
        <v>224</v>
      </c>
    </row>
    <row r="299" spans="1:62" x14ac:dyDescent="0.2">
      <c r="C299" s="195">
        <v>44498</v>
      </c>
      <c r="D299" s="55">
        <v>280</v>
      </c>
      <c r="E299" s="55" t="s">
        <v>816</v>
      </c>
      <c r="F299" s="55" t="s">
        <v>291</v>
      </c>
      <c r="G299" s="55" t="s">
        <v>292</v>
      </c>
      <c r="H299" s="50" t="s">
        <v>817</v>
      </c>
    </row>
    <row r="300" spans="1:62" x14ac:dyDescent="0.2">
      <c r="C300" s="195">
        <v>44498</v>
      </c>
      <c r="D300" s="55">
        <v>260</v>
      </c>
      <c r="E300" s="55" t="s">
        <v>818</v>
      </c>
      <c r="F300" s="55" t="s">
        <v>291</v>
      </c>
      <c r="G300" s="55" t="s">
        <v>819</v>
      </c>
      <c r="H300" s="50" t="s">
        <v>820</v>
      </c>
    </row>
    <row r="301" spans="1:62" x14ac:dyDescent="0.2">
      <c r="C301" s="195">
        <v>44498</v>
      </c>
      <c r="D301" s="55">
        <v>280</v>
      </c>
      <c r="E301" s="55" t="s">
        <v>821</v>
      </c>
      <c r="F301" s="55" t="s">
        <v>390</v>
      </c>
      <c r="G301" s="55" t="s">
        <v>408</v>
      </c>
      <c r="H301" s="50" t="s">
        <v>822</v>
      </c>
    </row>
    <row r="302" spans="1:62" x14ac:dyDescent="0.2">
      <c r="C302" s="195">
        <v>44498</v>
      </c>
      <c r="D302" s="55">
        <v>280</v>
      </c>
      <c r="E302" s="55" t="s">
        <v>823</v>
      </c>
      <c r="F302" s="55" t="s">
        <v>390</v>
      </c>
      <c r="G302" s="55" t="s">
        <v>671</v>
      </c>
      <c r="H302" s="50" t="s">
        <v>824</v>
      </c>
    </row>
    <row r="303" spans="1:62" x14ac:dyDescent="0.2">
      <c r="C303" s="195">
        <v>44498</v>
      </c>
      <c r="D303" s="55">
        <v>260</v>
      </c>
      <c r="E303" s="55" t="s">
        <v>825</v>
      </c>
      <c r="F303" s="55" t="s">
        <v>291</v>
      </c>
      <c r="G303" s="55" t="s">
        <v>292</v>
      </c>
      <c r="H303" s="50" t="s">
        <v>826</v>
      </c>
    </row>
    <row r="304" spans="1:62" x14ac:dyDescent="0.2">
      <c r="C304" s="195">
        <v>44498</v>
      </c>
      <c r="D304" s="55">
        <v>260</v>
      </c>
      <c r="E304" s="55" t="s">
        <v>827</v>
      </c>
      <c r="F304" s="55" t="s">
        <v>291</v>
      </c>
      <c r="G304" s="55" t="s">
        <v>819</v>
      </c>
      <c r="H304" s="50" t="s">
        <v>828</v>
      </c>
    </row>
    <row r="305" spans="1:84" x14ac:dyDescent="0.2">
      <c r="C305" s="195">
        <v>44498</v>
      </c>
      <c r="D305" s="55">
        <v>260</v>
      </c>
      <c r="E305" s="55" t="s">
        <v>829</v>
      </c>
      <c r="F305" s="55" t="s">
        <v>390</v>
      </c>
      <c r="G305" s="55" t="s">
        <v>671</v>
      </c>
      <c r="H305" s="50" t="s">
        <v>830</v>
      </c>
    </row>
    <row r="306" spans="1:84" x14ac:dyDescent="0.2">
      <c r="C306" s="195">
        <v>44498</v>
      </c>
      <c r="D306" s="55">
        <v>260</v>
      </c>
      <c r="E306" s="55" t="s">
        <v>831</v>
      </c>
      <c r="F306" s="55" t="s">
        <v>263</v>
      </c>
      <c r="G306" s="55" t="s">
        <v>506</v>
      </c>
      <c r="H306" s="50" t="s">
        <v>832</v>
      </c>
    </row>
    <row r="307" spans="1:84" x14ac:dyDescent="0.2">
      <c r="A307" s="57">
        <v>1021</v>
      </c>
      <c r="B307" s="162" t="s">
        <v>836</v>
      </c>
      <c r="C307" s="195">
        <v>44498</v>
      </c>
      <c r="D307" s="55">
        <v>260</v>
      </c>
      <c r="E307" s="55" t="s">
        <v>833</v>
      </c>
      <c r="F307" s="55" t="s">
        <v>267</v>
      </c>
      <c r="G307" s="55" t="s">
        <v>813</v>
      </c>
      <c r="I307" s="46" t="s">
        <v>839</v>
      </c>
      <c r="J307" s="52">
        <v>1</v>
      </c>
      <c r="K307" s="52">
        <v>1</v>
      </c>
      <c r="O307" s="1">
        <v>1</v>
      </c>
      <c r="S307" s="1">
        <v>1</v>
      </c>
      <c r="W307" s="1">
        <v>1</v>
      </c>
      <c r="AA307" s="1">
        <v>1</v>
      </c>
      <c r="AG307">
        <v>1</v>
      </c>
      <c r="AM307">
        <v>4</v>
      </c>
      <c r="AS307">
        <v>4</v>
      </c>
      <c r="AT307">
        <v>1</v>
      </c>
      <c r="AU307">
        <v>1</v>
      </c>
      <c r="AZ307">
        <v>5</v>
      </c>
      <c r="BA307">
        <v>4</v>
      </c>
      <c r="BB307">
        <v>4</v>
      </c>
      <c r="BC307">
        <v>4</v>
      </c>
      <c r="BD307">
        <v>4</v>
      </c>
      <c r="BE307" s="162">
        <v>5</v>
      </c>
      <c r="BJ307">
        <v>1</v>
      </c>
    </row>
    <row r="308" spans="1:84" x14ac:dyDescent="0.2">
      <c r="C308" s="195">
        <v>44498</v>
      </c>
      <c r="D308" s="55">
        <v>260</v>
      </c>
      <c r="E308" s="55" t="s">
        <v>834</v>
      </c>
      <c r="F308" s="55" t="s">
        <v>267</v>
      </c>
      <c r="G308" s="55" t="s">
        <v>813</v>
      </c>
      <c r="H308" s="50" t="s">
        <v>835</v>
      </c>
    </row>
    <row r="309" spans="1:84" x14ac:dyDescent="0.2">
      <c r="A309" s="57">
        <v>1021</v>
      </c>
      <c r="B309" t="s">
        <v>3655</v>
      </c>
      <c r="C309" s="195">
        <v>44501.520960648151</v>
      </c>
      <c r="D309" s="55">
        <v>260</v>
      </c>
      <c r="I309" s="46" t="s">
        <v>839</v>
      </c>
      <c r="J309" s="162">
        <v>2</v>
      </c>
      <c r="K309" s="162">
        <v>2</v>
      </c>
      <c r="L309" s="162"/>
      <c r="M309" s="162"/>
      <c r="N309" s="162"/>
      <c r="O309" s="162">
        <v>2</v>
      </c>
      <c r="P309" s="162"/>
      <c r="Q309" s="162"/>
      <c r="R309" s="162"/>
      <c r="S309" s="162">
        <v>1</v>
      </c>
      <c r="T309" s="162"/>
      <c r="U309" s="162"/>
      <c r="V309" s="162"/>
      <c r="W309" s="162">
        <v>1</v>
      </c>
      <c r="X309" s="162"/>
      <c r="Y309" s="162"/>
      <c r="Z309" s="162"/>
      <c r="AA309" s="162">
        <v>4</v>
      </c>
      <c r="AB309" s="162">
        <v>1</v>
      </c>
      <c r="AC309" s="162">
        <v>1</v>
      </c>
      <c r="AD309" s="162">
        <v>1</v>
      </c>
      <c r="AE309" s="162">
        <v>1</v>
      </c>
      <c r="AF309" s="162">
        <v>1</v>
      </c>
      <c r="AG309" s="162">
        <v>2</v>
      </c>
      <c r="AH309" s="162"/>
      <c r="AI309" s="162"/>
      <c r="AJ309" s="162"/>
      <c r="AK309" s="162"/>
      <c r="AL309" s="162"/>
      <c r="AM309" s="162">
        <v>2</v>
      </c>
      <c r="AN309" s="162">
        <v>1</v>
      </c>
      <c r="AO309" s="162">
        <v>3</v>
      </c>
      <c r="AP309" s="162">
        <v>3</v>
      </c>
      <c r="AQ309" s="162">
        <v>3</v>
      </c>
      <c r="AR309" s="162">
        <v>3</v>
      </c>
      <c r="AS309" s="162">
        <v>2</v>
      </c>
      <c r="AT309" s="162">
        <v>1</v>
      </c>
      <c r="AU309" s="162">
        <v>1</v>
      </c>
      <c r="AV309" s="162"/>
      <c r="AW309" s="162"/>
      <c r="AX309" s="162"/>
      <c r="AY309" s="162"/>
      <c r="AZ309" s="162">
        <v>2</v>
      </c>
      <c r="BA309" s="162">
        <v>3</v>
      </c>
      <c r="BB309" s="162">
        <v>3</v>
      </c>
      <c r="BC309" s="162">
        <v>3</v>
      </c>
      <c r="BD309" s="162">
        <v>3</v>
      </c>
      <c r="BE309" s="162">
        <v>2</v>
      </c>
      <c r="BF309" s="162"/>
      <c r="BG309" s="162"/>
      <c r="BH309" s="162"/>
      <c r="BI309" s="162"/>
      <c r="BJ309" s="162">
        <v>2</v>
      </c>
      <c r="BK309" s="162"/>
      <c r="BL309" s="162"/>
      <c r="BM309" s="162"/>
      <c r="BN309" s="162"/>
      <c r="BO309" s="162"/>
      <c r="BP309" s="162"/>
      <c r="BQ309" s="162"/>
      <c r="BR309" s="162"/>
      <c r="BS309" s="162"/>
      <c r="BT309" s="162"/>
      <c r="BU309" s="162"/>
      <c r="BV309" s="162"/>
      <c r="BW309" s="162"/>
      <c r="BX309" s="162"/>
      <c r="BY309" s="162"/>
      <c r="BZ309" s="162"/>
      <c r="CA309" s="162"/>
      <c r="CB309" s="162"/>
      <c r="CC309" s="162"/>
      <c r="CD309" s="162"/>
      <c r="CE309" s="162"/>
      <c r="CF309" s="162"/>
    </row>
    <row r="310" spans="1:84" x14ac:dyDescent="0.2">
      <c r="A310" s="57">
        <v>1021</v>
      </c>
      <c r="B310" s="162" t="s">
        <v>3655</v>
      </c>
      <c r="C310" s="195">
        <v>44501.536759259259</v>
      </c>
      <c r="D310" s="55">
        <v>260</v>
      </c>
      <c r="I310" s="46" t="s">
        <v>839</v>
      </c>
      <c r="J310" s="162">
        <v>1</v>
      </c>
      <c r="K310" s="162">
        <v>1</v>
      </c>
      <c r="L310" s="162"/>
      <c r="M310" s="162"/>
      <c r="N310" s="162"/>
      <c r="O310" s="162">
        <v>1</v>
      </c>
      <c r="P310" s="162"/>
      <c r="Q310" s="162"/>
      <c r="R310" s="162"/>
      <c r="S310" s="162">
        <v>1</v>
      </c>
      <c r="T310" s="162"/>
      <c r="U310" s="162"/>
      <c r="V310" s="162"/>
      <c r="W310" s="162">
        <v>2</v>
      </c>
      <c r="X310" s="162"/>
      <c r="Y310" s="162"/>
      <c r="Z310" s="162"/>
      <c r="AA310" s="162">
        <v>1</v>
      </c>
      <c r="AB310" s="162"/>
      <c r="AC310" s="162"/>
      <c r="AD310" s="162"/>
      <c r="AE310" s="162"/>
      <c r="AF310" s="162"/>
      <c r="AG310" s="162">
        <v>1</v>
      </c>
      <c r="AH310" s="162"/>
      <c r="AI310" s="162"/>
      <c r="AJ310" s="162"/>
      <c r="AK310" s="162"/>
      <c r="AL310" s="162"/>
      <c r="AM310" s="162">
        <v>3</v>
      </c>
      <c r="AN310" s="162"/>
      <c r="AO310" s="162"/>
      <c r="AP310" s="162"/>
      <c r="AQ310" s="162"/>
      <c r="AR310" s="162"/>
      <c r="AS310" s="162">
        <v>3</v>
      </c>
      <c r="AT310" s="162">
        <v>1</v>
      </c>
      <c r="AU310" s="162">
        <v>1</v>
      </c>
      <c r="AV310" s="162"/>
      <c r="AW310" s="162"/>
      <c r="AX310" s="162"/>
      <c r="AY310" s="162"/>
      <c r="AZ310" s="162">
        <v>1</v>
      </c>
      <c r="BA310" s="162">
        <v>3</v>
      </c>
      <c r="BB310" s="162">
        <v>3</v>
      </c>
      <c r="BC310" s="162">
        <v>1</v>
      </c>
      <c r="BD310" s="162">
        <v>1</v>
      </c>
      <c r="BE310" s="162">
        <v>1</v>
      </c>
      <c r="BF310" s="162"/>
      <c r="BG310" s="162"/>
      <c r="BH310" s="162"/>
      <c r="BI310" s="162"/>
      <c r="BJ310" s="162">
        <v>1</v>
      </c>
      <c r="BK310" s="162"/>
      <c r="BL310" s="162"/>
      <c r="BM310" s="162"/>
      <c r="BN310" s="162"/>
      <c r="BO310" s="162"/>
      <c r="BP310" s="162"/>
      <c r="BQ310" s="162"/>
      <c r="BR310" s="162"/>
      <c r="BS310" s="162"/>
      <c r="BT310" s="162"/>
      <c r="BU310" s="162"/>
      <c r="BV310" s="162"/>
      <c r="BW310" s="162"/>
      <c r="BX310" s="162"/>
      <c r="BY310" s="162"/>
      <c r="BZ310" s="162"/>
      <c r="CA310" s="162"/>
      <c r="CB310" s="162"/>
      <c r="CC310" s="162"/>
      <c r="CD310" s="162"/>
      <c r="CE310" s="162"/>
      <c r="CF310" s="162"/>
    </row>
    <row r="311" spans="1:84" x14ac:dyDescent="0.2">
      <c r="A311" s="57">
        <v>1021</v>
      </c>
      <c r="B311" s="162" t="s">
        <v>3655</v>
      </c>
      <c r="C311" s="195">
        <v>44501.574594907404</v>
      </c>
      <c r="D311" s="55">
        <v>260</v>
      </c>
      <c r="I311" s="46" t="s">
        <v>839</v>
      </c>
      <c r="J311" s="162">
        <v>3</v>
      </c>
      <c r="K311" s="162">
        <v>3</v>
      </c>
      <c r="L311" s="162">
        <v>4</v>
      </c>
      <c r="M311" s="162">
        <v>4</v>
      </c>
      <c r="N311" s="162">
        <v>4</v>
      </c>
      <c r="O311" s="162">
        <v>5</v>
      </c>
      <c r="P311" s="162"/>
      <c r="Q311" s="162"/>
      <c r="R311" s="162"/>
      <c r="S311" s="162">
        <v>5</v>
      </c>
      <c r="T311" s="162"/>
      <c r="U311" s="162"/>
      <c r="V311" s="162"/>
      <c r="W311" s="162">
        <v>5</v>
      </c>
      <c r="X311" s="162"/>
      <c r="Y311" s="162"/>
      <c r="Z311" s="162"/>
      <c r="AA311" s="162">
        <v>5</v>
      </c>
      <c r="AB311" s="162"/>
      <c r="AC311" s="162"/>
      <c r="AD311" s="162"/>
      <c r="AE311" s="162"/>
      <c r="AF311" s="162"/>
      <c r="AG311" s="162">
        <v>5</v>
      </c>
      <c r="AH311" s="162"/>
      <c r="AI311" s="162"/>
      <c r="AJ311" s="162"/>
      <c r="AK311" s="162"/>
      <c r="AL311" s="162"/>
      <c r="AM311" s="162">
        <v>5</v>
      </c>
      <c r="AN311" s="162"/>
      <c r="AO311" s="162"/>
      <c r="AP311" s="162"/>
      <c r="AQ311" s="162"/>
      <c r="AR311" s="162"/>
      <c r="AS311" s="162">
        <v>5</v>
      </c>
      <c r="AT311" s="162">
        <v>5</v>
      </c>
      <c r="AU311" s="162">
        <v>5</v>
      </c>
      <c r="AV311" s="162"/>
      <c r="AW311" s="162"/>
      <c r="AX311" s="162"/>
      <c r="AY311" s="162"/>
      <c r="AZ311" s="162">
        <v>5</v>
      </c>
      <c r="BA311" s="162">
        <v>4</v>
      </c>
      <c r="BB311" s="162">
        <v>4</v>
      </c>
      <c r="BC311" s="162">
        <v>4</v>
      </c>
      <c r="BD311" s="162">
        <v>4</v>
      </c>
      <c r="BE311" s="162">
        <v>5</v>
      </c>
      <c r="BF311" s="162"/>
      <c r="BG311" s="162"/>
      <c r="BH311" s="162"/>
      <c r="BI311" s="162"/>
      <c r="BJ311" s="162">
        <v>5</v>
      </c>
      <c r="BK311" s="162"/>
      <c r="BL311" s="162"/>
      <c r="BM311" s="162"/>
      <c r="BN311" s="162"/>
      <c r="BO311" s="162"/>
      <c r="BP311" s="162"/>
      <c r="BQ311" s="162"/>
      <c r="BR311" s="162"/>
      <c r="BS311" s="162"/>
      <c r="BT311" s="162"/>
      <c r="BU311" s="162"/>
      <c r="BV311" s="162"/>
      <c r="BW311" s="162"/>
      <c r="BX311" s="162"/>
      <c r="BY311" s="162"/>
      <c r="BZ311" s="162"/>
      <c r="CA311" s="162"/>
      <c r="CB311" s="162"/>
      <c r="CC311" s="162"/>
      <c r="CD311" s="162"/>
      <c r="CE311" s="162"/>
      <c r="CF311" s="162"/>
    </row>
    <row r="312" spans="1:84" x14ac:dyDescent="0.2">
      <c r="A312" s="57">
        <v>1021</v>
      </c>
      <c r="B312" s="162" t="s">
        <v>3655</v>
      </c>
      <c r="C312" s="195">
        <v>44501.700324074074</v>
      </c>
      <c r="D312" s="55">
        <v>260</v>
      </c>
      <c r="I312" s="46" t="s">
        <v>839</v>
      </c>
      <c r="J312" s="162">
        <v>1</v>
      </c>
      <c r="K312" s="162">
        <v>1</v>
      </c>
      <c r="L312" s="162"/>
      <c r="M312" s="162"/>
      <c r="N312" s="162"/>
      <c r="O312" s="162">
        <v>1</v>
      </c>
      <c r="P312" s="162"/>
      <c r="Q312" s="162"/>
      <c r="R312" s="162"/>
      <c r="S312" s="162">
        <v>1</v>
      </c>
      <c r="T312" s="162"/>
      <c r="U312" s="162"/>
      <c r="V312" s="162"/>
      <c r="W312" s="162">
        <v>1</v>
      </c>
      <c r="X312" s="162"/>
      <c r="Y312" s="162"/>
      <c r="Z312" s="162"/>
      <c r="AA312" s="162">
        <v>1</v>
      </c>
      <c r="AB312" s="162"/>
      <c r="AC312" s="162"/>
      <c r="AD312" s="162"/>
      <c r="AE312" s="162"/>
      <c r="AF312" s="162"/>
      <c r="AG312" s="162">
        <v>1</v>
      </c>
      <c r="AH312" s="162"/>
      <c r="AI312" s="162"/>
      <c r="AJ312" s="162"/>
      <c r="AK312" s="162"/>
      <c r="AL312" s="162"/>
      <c r="AM312" s="162">
        <v>3</v>
      </c>
      <c r="AN312" s="162"/>
      <c r="AO312" s="162"/>
      <c r="AP312" s="162"/>
      <c r="AQ312" s="162"/>
      <c r="AR312" s="162"/>
      <c r="AS312" s="162">
        <v>3</v>
      </c>
      <c r="AT312" s="162">
        <v>1</v>
      </c>
      <c r="AU312" s="162">
        <v>1</v>
      </c>
      <c r="AV312" s="162"/>
      <c r="AW312" s="162"/>
      <c r="AX312" s="162"/>
      <c r="AY312" s="162"/>
      <c r="AZ312" s="162">
        <v>1</v>
      </c>
      <c r="BA312" s="162">
        <v>1</v>
      </c>
      <c r="BB312" s="162">
        <v>1</v>
      </c>
      <c r="BC312" s="162">
        <v>1</v>
      </c>
      <c r="BD312" s="162">
        <v>1</v>
      </c>
      <c r="BE312" s="162">
        <v>1</v>
      </c>
      <c r="BF312" s="162"/>
      <c r="BG312" s="162"/>
      <c r="BH312" s="162"/>
      <c r="BI312" s="162"/>
      <c r="BJ312" s="162">
        <v>1</v>
      </c>
      <c r="BK312" s="162"/>
      <c r="BL312" s="162"/>
      <c r="BM312" s="162"/>
      <c r="BN312" s="162"/>
      <c r="BO312" s="162"/>
      <c r="BP312" s="162"/>
      <c r="BQ312" s="162"/>
      <c r="BR312" s="162"/>
      <c r="BS312" s="162"/>
      <c r="BT312" s="162"/>
      <c r="BU312" s="162"/>
      <c r="BV312" s="162"/>
      <c r="BW312" s="162"/>
      <c r="BX312" s="162"/>
      <c r="BY312" s="162"/>
      <c r="BZ312" s="162"/>
      <c r="CA312" s="162"/>
      <c r="CB312" s="162"/>
      <c r="CC312" s="162"/>
      <c r="CD312" s="162"/>
      <c r="CE312" s="162"/>
      <c r="CF312" s="162"/>
    </row>
    <row r="313" spans="1:84" x14ac:dyDescent="0.2">
      <c r="A313" s="57">
        <v>1021</v>
      </c>
      <c r="B313" s="162" t="s">
        <v>3655</v>
      </c>
      <c r="C313" s="195">
        <v>44502.434791666667</v>
      </c>
      <c r="D313" s="55">
        <v>260</v>
      </c>
      <c r="I313" s="46" t="s">
        <v>839</v>
      </c>
      <c r="J313" s="162">
        <v>1</v>
      </c>
      <c r="K313" s="162">
        <v>1</v>
      </c>
      <c r="L313" s="162"/>
      <c r="M313" s="162"/>
      <c r="N313" s="162"/>
      <c r="O313" s="162">
        <v>1</v>
      </c>
      <c r="P313" s="162"/>
      <c r="Q313" s="162"/>
      <c r="R313" s="162"/>
      <c r="S313" s="162">
        <v>1</v>
      </c>
      <c r="T313" s="162"/>
      <c r="U313" s="162"/>
      <c r="V313" s="162"/>
      <c r="W313" s="162">
        <v>1</v>
      </c>
      <c r="X313" s="162"/>
      <c r="Y313" s="162"/>
      <c r="Z313" s="162"/>
      <c r="AA313" s="162">
        <v>1</v>
      </c>
      <c r="AB313" s="162"/>
      <c r="AC313" s="162"/>
      <c r="AD313" s="162"/>
      <c r="AE313" s="162"/>
      <c r="AF313" s="162"/>
      <c r="AG313" s="162">
        <v>2</v>
      </c>
      <c r="AH313" s="162"/>
      <c r="AI313" s="162"/>
      <c r="AJ313" s="162"/>
      <c r="AK313" s="162"/>
      <c r="AL313" s="162"/>
      <c r="AM313" s="162">
        <v>1</v>
      </c>
      <c r="AN313" s="162">
        <v>1</v>
      </c>
      <c r="AO313" s="162">
        <v>1</v>
      </c>
      <c r="AP313" s="162">
        <v>1</v>
      </c>
      <c r="AQ313" s="162">
        <v>2</v>
      </c>
      <c r="AR313" s="162">
        <v>2</v>
      </c>
      <c r="AS313" s="162">
        <v>2</v>
      </c>
      <c r="AT313" s="162">
        <v>1</v>
      </c>
      <c r="AU313" s="162">
        <v>1</v>
      </c>
      <c r="AV313" s="162"/>
      <c r="AW313" s="162"/>
      <c r="AX313" s="162"/>
      <c r="AY313" s="162"/>
      <c r="AZ313" s="162">
        <v>1</v>
      </c>
      <c r="BA313" s="162">
        <v>1</v>
      </c>
      <c r="BB313" s="162">
        <v>1</v>
      </c>
      <c r="BC313" s="162">
        <v>1</v>
      </c>
      <c r="BD313" s="162">
        <v>1</v>
      </c>
      <c r="BE313" s="162">
        <v>1</v>
      </c>
      <c r="BF313" s="162"/>
      <c r="BG313" s="162"/>
      <c r="BH313" s="162"/>
      <c r="BI313" s="162"/>
      <c r="BJ313" s="162">
        <v>1</v>
      </c>
      <c r="BK313" s="162"/>
      <c r="BL313" s="162"/>
      <c r="BM313" s="162"/>
      <c r="BN313" s="162"/>
      <c r="BO313" s="162"/>
      <c r="BP313" s="162"/>
      <c r="BQ313" s="162"/>
      <c r="BR313" s="162"/>
      <c r="BS313" s="162"/>
      <c r="BT313" s="162"/>
      <c r="BU313" s="162"/>
      <c r="BV313" s="162"/>
      <c r="BW313" s="162"/>
      <c r="BX313" s="162"/>
      <c r="BY313" s="162"/>
      <c r="BZ313" s="162"/>
      <c r="CA313" s="162"/>
      <c r="CB313" s="162"/>
      <c r="CC313" s="162"/>
      <c r="CD313" s="162"/>
      <c r="CE313" s="162"/>
      <c r="CF313" s="162"/>
    </row>
    <row r="314" spans="1:84" x14ac:dyDescent="0.2">
      <c r="A314" s="57">
        <v>1021</v>
      </c>
      <c r="B314" s="162" t="s">
        <v>3655</v>
      </c>
      <c r="C314" s="195">
        <v>44503.328506944446</v>
      </c>
      <c r="D314" s="55">
        <v>260</v>
      </c>
      <c r="I314" s="46" t="s">
        <v>839</v>
      </c>
      <c r="J314" s="162">
        <v>1</v>
      </c>
      <c r="K314" s="162">
        <v>1</v>
      </c>
      <c r="L314" s="162"/>
      <c r="M314" s="162"/>
      <c r="N314" s="162"/>
      <c r="O314" s="162">
        <v>1</v>
      </c>
      <c r="P314" s="162"/>
      <c r="Q314" s="162"/>
      <c r="R314" s="162"/>
      <c r="S314" s="162">
        <v>1</v>
      </c>
      <c r="T314" s="162"/>
      <c r="U314" s="162"/>
      <c r="V314" s="162"/>
      <c r="W314" s="162">
        <v>1</v>
      </c>
      <c r="X314" s="162"/>
      <c r="Y314" s="162"/>
      <c r="Z314" s="162"/>
      <c r="AA314" s="162">
        <v>1</v>
      </c>
      <c r="AB314" s="162"/>
      <c r="AC314" s="162"/>
      <c r="AD314" s="162"/>
      <c r="AE314" s="162"/>
      <c r="AF314" s="162"/>
      <c r="AG314" s="162">
        <v>1</v>
      </c>
      <c r="AH314" s="162"/>
      <c r="AI314" s="162"/>
      <c r="AJ314" s="162"/>
      <c r="AK314" s="162"/>
      <c r="AL314" s="162"/>
      <c r="AM314" s="162">
        <v>3</v>
      </c>
      <c r="AN314" s="162"/>
      <c r="AO314" s="162"/>
      <c r="AP314" s="162"/>
      <c r="AQ314" s="162"/>
      <c r="AR314" s="162"/>
      <c r="AS314" s="162">
        <v>3</v>
      </c>
      <c r="AT314" s="162">
        <v>1</v>
      </c>
      <c r="AU314" s="162">
        <v>1</v>
      </c>
      <c r="AV314" s="162"/>
      <c r="AW314" s="162"/>
      <c r="AX314" s="162"/>
      <c r="AY314" s="162"/>
      <c r="AZ314" s="162">
        <v>1</v>
      </c>
      <c r="BA314" s="162">
        <v>1</v>
      </c>
      <c r="BB314" s="162">
        <v>1</v>
      </c>
      <c r="BC314" s="162">
        <v>1</v>
      </c>
      <c r="BD314" s="162">
        <v>1</v>
      </c>
      <c r="BE314" s="162">
        <v>1</v>
      </c>
      <c r="BF314" s="162"/>
      <c r="BG314" s="162"/>
      <c r="BH314" s="162"/>
      <c r="BI314" s="162"/>
      <c r="BJ314" s="162">
        <v>1</v>
      </c>
      <c r="BK314" s="162"/>
      <c r="BL314" s="162"/>
      <c r="BM314" s="162"/>
      <c r="BN314" s="162"/>
      <c r="BO314" s="162"/>
      <c r="BP314" s="162"/>
      <c r="BQ314" s="162"/>
      <c r="BR314" s="162"/>
      <c r="BS314" s="162"/>
      <c r="BT314" s="162"/>
      <c r="BU314" s="162"/>
      <c r="BV314" s="162"/>
      <c r="BW314" s="162"/>
      <c r="BX314" s="162"/>
      <c r="BY314" s="162"/>
      <c r="BZ314" s="162"/>
      <c r="CA314" s="162"/>
      <c r="CB314" s="162"/>
      <c r="CC314" s="162"/>
      <c r="CD314" s="162"/>
      <c r="CE314" s="162"/>
      <c r="CF314" s="162"/>
    </row>
    <row r="315" spans="1:84" x14ac:dyDescent="0.2">
      <c r="A315" s="57">
        <v>1021</v>
      </c>
      <c r="B315" s="162" t="s">
        <v>3655</v>
      </c>
      <c r="C315" s="195">
        <v>44517.88071759259</v>
      </c>
      <c r="D315" s="55">
        <v>260</v>
      </c>
      <c r="I315" s="46" t="s">
        <v>839</v>
      </c>
      <c r="J315" s="162">
        <v>2</v>
      </c>
      <c r="K315" s="162">
        <v>1</v>
      </c>
      <c r="L315" s="162"/>
      <c r="M315" s="162"/>
      <c r="N315" s="162"/>
      <c r="O315" s="162">
        <v>1</v>
      </c>
      <c r="P315" s="162"/>
      <c r="Q315" s="162"/>
      <c r="R315" s="162"/>
      <c r="S315" s="162">
        <v>2</v>
      </c>
      <c r="T315" s="162"/>
      <c r="U315" s="162"/>
      <c r="V315" s="162"/>
      <c r="W315" s="162">
        <v>1</v>
      </c>
      <c r="X315" s="162"/>
      <c r="Y315" s="162"/>
      <c r="Z315" s="162"/>
      <c r="AA315" s="162">
        <v>5</v>
      </c>
      <c r="AB315" s="162"/>
      <c r="AC315" s="162"/>
      <c r="AD315" s="162"/>
      <c r="AE315" s="162"/>
      <c r="AF315" s="162"/>
      <c r="AG315" s="162">
        <v>5</v>
      </c>
      <c r="AH315" s="162"/>
      <c r="AI315" s="162"/>
      <c r="AJ315" s="162"/>
      <c r="AK315" s="162"/>
      <c r="AL315" s="162"/>
      <c r="AM315" s="162">
        <v>5</v>
      </c>
      <c r="AN315" s="162"/>
      <c r="AO315" s="162"/>
      <c r="AP315" s="162"/>
      <c r="AQ315" s="162"/>
      <c r="AR315" s="162"/>
      <c r="AS315" s="162">
        <v>5</v>
      </c>
      <c r="AT315" s="162">
        <v>5</v>
      </c>
      <c r="AU315" s="162">
        <v>5</v>
      </c>
      <c r="AV315" s="162"/>
      <c r="AW315" s="162"/>
      <c r="AX315" s="162"/>
      <c r="AY315" s="162"/>
      <c r="AZ315" s="162">
        <v>5</v>
      </c>
      <c r="BA315" s="162">
        <v>4</v>
      </c>
      <c r="BB315" s="162">
        <v>4</v>
      </c>
      <c r="BC315" s="162">
        <v>4</v>
      </c>
      <c r="BD315" s="162">
        <v>4</v>
      </c>
      <c r="BE315" s="162">
        <v>5</v>
      </c>
      <c r="BF315" s="162"/>
      <c r="BG315" s="162"/>
      <c r="BH315" s="162"/>
      <c r="BI315" s="162"/>
      <c r="BJ315" s="162">
        <v>5</v>
      </c>
      <c r="BK315" s="162"/>
      <c r="BL315" s="162"/>
      <c r="BM315" s="162"/>
      <c r="BN315" s="162"/>
      <c r="BO315" s="162"/>
      <c r="BP315" s="162"/>
      <c r="BQ315" s="162"/>
      <c r="BR315" s="162"/>
      <c r="BS315" s="162"/>
      <c r="BT315" s="162"/>
      <c r="BU315" s="162"/>
      <c r="BV315" s="162"/>
      <c r="BW315" s="162"/>
      <c r="BX315" s="162"/>
      <c r="BY315" s="162"/>
      <c r="BZ315" s="162"/>
      <c r="CA315" s="162"/>
      <c r="CB315" s="162"/>
      <c r="CC315" s="162"/>
      <c r="CD315" s="162"/>
      <c r="CE315" s="162"/>
      <c r="CF315" s="162"/>
    </row>
    <row r="316" spans="1:84" x14ac:dyDescent="0.2">
      <c r="A316" s="57">
        <v>1021</v>
      </c>
      <c r="B316" s="162" t="s">
        <v>3655</v>
      </c>
      <c r="C316" s="195">
        <v>44501.521956018521</v>
      </c>
      <c r="D316" s="55">
        <v>280</v>
      </c>
      <c r="I316" s="46" t="s">
        <v>839</v>
      </c>
      <c r="J316" s="162">
        <v>4</v>
      </c>
      <c r="K316" s="162">
        <v>4</v>
      </c>
      <c r="L316" s="162">
        <v>2</v>
      </c>
      <c r="M316" s="162">
        <v>2</v>
      </c>
      <c r="N316" s="162">
        <v>2</v>
      </c>
      <c r="O316" s="162">
        <v>4</v>
      </c>
      <c r="P316" s="162">
        <v>2</v>
      </c>
      <c r="Q316" s="162">
        <v>2</v>
      </c>
      <c r="R316" s="162">
        <v>2</v>
      </c>
      <c r="S316" s="162">
        <v>4</v>
      </c>
      <c r="T316" s="162">
        <v>2</v>
      </c>
      <c r="U316" s="162">
        <v>2</v>
      </c>
      <c r="V316" s="162">
        <v>2</v>
      </c>
      <c r="W316" s="162">
        <v>4</v>
      </c>
      <c r="X316" s="162">
        <v>2</v>
      </c>
      <c r="Y316" s="162">
        <v>2</v>
      </c>
      <c r="Z316" s="162">
        <v>2</v>
      </c>
      <c r="AA316" s="162">
        <v>4</v>
      </c>
      <c r="AB316" s="162">
        <v>3</v>
      </c>
      <c r="AC316" s="162">
        <v>3</v>
      </c>
      <c r="AD316" s="162">
        <v>3</v>
      </c>
      <c r="AE316" s="162">
        <v>2</v>
      </c>
      <c r="AF316" s="162">
        <v>2</v>
      </c>
      <c r="AG316" s="162">
        <v>4</v>
      </c>
      <c r="AH316" s="162">
        <v>2</v>
      </c>
      <c r="AI316" s="162">
        <v>3</v>
      </c>
      <c r="AJ316" s="162">
        <v>3</v>
      </c>
      <c r="AK316" s="162">
        <v>3</v>
      </c>
      <c r="AL316" s="162">
        <v>2</v>
      </c>
      <c r="AM316" s="162">
        <v>3</v>
      </c>
      <c r="AN316" s="162"/>
      <c r="AO316" s="162"/>
      <c r="AP316" s="162"/>
      <c r="AQ316" s="162"/>
      <c r="AR316" s="162"/>
      <c r="AS316" s="162">
        <v>4</v>
      </c>
      <c r="AT316" s="162">
        <v>4</v>
      </c>
      <c r="AU316" s="162">
        <v>3</v>
      </c>
      <c r="AV316" s="162">
        <v>2</v>
      </c>
      <c r="AW316" s="162">
        <v>2</v>
      </c>
      <c r="AX316" s="162">
        <v>2</v>
      </c>
      <c r="AY316" s="162">
        <v>3</v>
      </c>
      <c r="AZ316" s="162">
        <v>4</v>
      </c>
      <c r="BA316" s="162">
        <v>3</v>
      </c>
      <c r="BB316" s="162">
        <v>2</v>
      </c>
      <c r="BC316" s="162">
        <v>2</v>
      </c>
      <c r="BD316" s="162">
        <v>2</v>
      </c>
      <c r="BE316" s="162">
        <v>4</v>
      </c>
      <c r="BF316" s="162">
        <v>2</v>
      </c>
      <c r="BG316" s="162">
        <v>2</v>
      </c>
      <c r="BH316" s="162">
        <v>2</v>
      </c>
      <c r="BI316" s="162">
        <v>2</v>
      </c>
      <c r="BJ316" s="162">
        <v>4</v>
      </c>
      <c r="BK316" s="162">
        <v>2</v>
      </c>
      <c r="BL316" s="162">
        <v>2</v>
      </c>
      <c r="BM316" s="162">
        <v>2</v>
      </c>
      <c r="BN316" s="162">
        <v>2</v>
      </c>
      <c r="BO316" s="162"/>
      <c r="BP316" s="162"/>
      <c r="BQ316" s="162"/>
      <c r="BR316" s="162"/>
      <c r="BS316" s="162"/>
      <c r="BT316" s="162"/>
      <c r="BU316" s="162"/>
      <c r="BV316" s="162"/>
      <c r="BW316" s="162"/>
      <c r="BX316" s="162"/>
      <c r="BY316" s="162"/>
      <c r="BZ316" s="162"/>
      <c r="CA316" s="162"/>
      <c r="CB316" s="162"/>
      <c r="CC316" s="162"/>
      <c r="CD316" s="162"/>
      <c r="CE316" s="162"/>
      <c r="CF316" s="162"/>
    </row>
    <row r="317" spans="1:84" x14ac:dyDescent="0.2">
      <c r="A317" s="57">
        <v>1021</v>
      </c>
      <c r="B317" s="162" t="s">
        <v>3655</v>
      </c>
      <c r="C317" s="195">
        <v>44501.549004629633</v>
      </c>
      <c r="D317" s="55">
        <v>280</v>
      </c>
      <c r="I317" s="46" t="s">
        <v>839</v>
      </c>
      <c r="J317" s="162">
        <v>2</v>
      </c>
      <c r="K317" s="162">
        <v>2</v>
      </c>
      <c r="L317" s="162"/>
      <c r="M317" s="162"/>
      <c r="N317" s="162"/>
      <c r="O317" s="162">
        <v>1</v>
      </c>
      <c r="P317" s="162"/>
      <c r="Q317" s="162"/>
      <c r="R317" s="162"/>
      <c r="S317" s="162">
        <v>1</v>
      </c>
      <c r="T317" s="162"/>
      <c r="U317" s="162"/>
      <c r="V317" s="162"/>
      <c r="W317" s="162">
        <v>1</v>
      </c>
      <c r="X317" s="162"/>
      <c r="Y317" s="162"/>
      <c r="Z317" s="162"/>
      <c r="AA317" s="162">
        <v>1</v>
      </c>
      <c r="AB317" s="162"/>
      <c r="AC317" s="162"/>
      <c r="AD317" s="162"/>
      <c r="AE317" s="162"/>
      <c r="AF317" s="162"/>
      <c r="AG317" s="162">
        <v>1</v>
      </c>
      <c r="AH317" s="162"/>
      <c r="AI317" s="162"/>
      <c r="AJ317" s="162"/>
      <c r="AK317" s="162"/>
      <c r="AL317" s="162"/>
      <c r="AM317" s="162">
        <v>4</v>
      </c>
      <c r="AN317" s="162"/>
      <c r="AO317" s="162"/>
      <c r="AP317" s="162"/>
      <c r="AQ317" s="162"/>
      <c r="AR317" s="162"/>
      <c r="AS317" s="162">
        <v>4</v>
      </c>
      <c r="AT317" s="162">
        <v>1</v>
      </c>
      <c r="AU317" s="162">
        <v>1</v>
      </c>
      <c r="AV317" s="162"/>
      <c r="AW317" s="162"/>
      <c r="AX317" s="162"/>
      <c r="AY317" s="162"/>
      <c r="AZ317" s="162">
        <v>1</v>
      </c>
      <c r="BA317" s="162">
        <v>1</v>
      </c>
      <c r="BB317" s="162">
        <v>1</v>
      </c>
      <c r="BC317" s="162">
        <v>1</v>
      </c>
      <c r="BD317" s="162">
        <v>1</v>
      </c>
      <c r="BE317" s="162">
        <v>1</v>
      </c>
      <c r="BF317" s="162"/>
      <c r="BG317" s="162"/>
      <c r="BH317" s="162"/>
      <c r="BI317" s="162"/>
      <c r="BJ317" s="162">
        <v>1</v>
      </c>
      <c r="BK317" s="162"/>
      <c r="BL317" s="162"/>
      <c r="BM317" s="162"/>
      <c r="BN317" s="162"/>
      <c r="BO317" s="162"/>
      <c r="BP317" s="162"/>
      <c r="BQ317" s="162"/>
      <c r="BR317" s="162"/>
      <c r="BS317" s="162"/>
      <c r="BT317" s="162"/>
      <c r="BU317" s="162"/>
      <c r="BV317" s="162"/>
      <c r="BW317" s="162"/>
      <c r="BX317" s="162"/>
      <c r="BY317" s="162"/>
      <c r="BZ317" s="162"/>
      <c r="CA317" s="162"/>
      <c r="CB317" s="162"/>
      <c r="CC317" s="162"/>
      <c r="CD317" s="162"/>
      <c r="CE317" s="162"/>
      <c r="CF317" s="162"/>
    </row>
    <row r="318" spans="1:84" x14ac:dyDescent="0.2">
      <c r="A318" s="57">
        <v>1021</v>
      </c>
      <c r="B318" s="162" t="s">
        <v>3655</v>
      </c>
      <c r="C318" s="195">
        <v>44501.560057870367</v>
      </c>
      <c r="D318" s="55">
        <v>280</v>
      </c>
      <c r="I318" s="46" t="s">
        <v>839</v>
      </c>
      <c r="J318" s="162">
        <v>1</v>
      </c>
      <c r="K318" s="162">
        <v>1</v>
      </c>
      <c r="L318" s="162"/>
      <c r="M318" s="162"/>
      <c r="N318" s="162"/>
      <c r="O318" s="162">
        <v>1</v>
      </c>
      <c r="P318" s="162"/>
      <c r="Q318" s="162"/>
      <c r="R318" s="162"/>
      <c r="S318" s="162">
        <v>1</v>
      </c>
      <c r="T318" s="162"/>
      <c r="U318" s="162"/>
      <c r="V318" s="162"/>
      <c r="W318" s="162">
        <v>1</v>
      </c>
      <c r="X318" s="162"/>
      <c r="Y318" s="162"/>
      <c r="Z318" s="162"/>
      <c r="AA318" s="162">
        <v>1</v>
      </c>
      <c r="AB318" s="162"/>
      <c r="AC318" s="162"/>
      <c r="AD318" s="162"/>
      <c r="AE318" s="162"/>
      <c r="AF318" s="162"/>
      <c r="AG318" s="162">
        <v>1</v>
      </c>
      <c r="AH318" s="162"/>
      <c r="AI318" s="162"/>
      <c r="AJ318" s="162"/>
      <c r="AK318" s="162"/>
      <c r="AL318" s="162"/>
      <c r="AM318" s="162">
        <v>4</v>
      </c>
      <c r="AN318" s="162"/>
      <c r="AO318" s="162"/>
      <c r="AP318" s="162"/>
      <c r="AQ318" s="162"/>
      <c r="AR318" s="162"/>
      <c r="AS318" s="162">
        <v>4</v>
      </c>
      <c r="AT318" s="162">
        <v>1</v>
      </c>
      <c r="AU318" s="162">
        <v>1</v>
      </c>
      <c r="AV318" s="162"/>
      <c r="AW318" s="162"/>
      <c r="AX318" s="162"/>
      <c r="AY318" s="162"/>
      <c r="AZ318" s="162">
        <v>1</v>
      </c>
      <c r="BA318" s="162">
        <v>1</v>
      </c>
      <c r="BB318" s="162">
        <v>1</v>
      </c>
      <c r="BC318" s="162">
        <v>1</v>
      </c>
      <c r="BD318" s="162">
        <v>1</v>
      </c>
      <c r="BE318" s="162">
        <v>1</v>
      </c>
      <c r="BF318" s="162"/>
      <c r="BG318" s="162"/>
      <c r="BH318" s="162"/>
      <c r="BI318" s="162"/>
      <c r="BJ318" s="162">
        <v>1</v>
      </c>
      <c r="BK318" s="162"/>
      <c r="BL318" s="162"/>
      <c r="BM318" s="162"/>
      <c r="BN318" s="162"/>
      <c r="BO318" s="162"/>
      <c r="BP318" s="162"/>
      <c r="BQ318" s="162"/>
      <c r="BR318" s="162"/>
      <c r="BS318" s="162"/>
      <c r="BT318" s="162"/>
      <c r="BU318" s="162"/>
      <c r="BV318" s="162"/>
      <c r="BW318" s="162"/>
      <c r="BX318" s="162"/>
      <c r="BY318" s="162"/>
      <c r="BZ318" s="162"/>
      <c r="CA318" s="162"/>
      <c r="CB318" s="162"/>
      <c r="CC318" s="162"/>
      <c r="CD318" s="162"/>
      <c r="CE318" s="162"/>
      <c r="CF318" s="162"/>
    </row>
    <row r="319" spans="1:84" x14ac:dyDescent="0.2">
      <c r="A319" s="57">
        <v>1021</v>
      </c>
      <c r="B319" s="162" t="s">
        <v>3655</v>
      </c>
      <c r="C319" s="195">
        <v>44501.581793981481</v>
      </c>
      <c r="D319" s="55">
        <v>280</v>
      </c>
      <c r="I319" s="46" t="s">
        <v>839</v>
      </c>
      <c r="J319" s="162">
        <v>1</v>
      </c>
      <c r="K319" s="162">
        <v>1</v>
      </c>
      <c r="L319" s="162"/>
      <c r="M319" s="162"/>
      <c r="N319" s="162"/>
      <c r="O319" s="162">
        <v>1</v>
      </c>
      <c r="P319" s="162"/>
      <c r="Q319" s="162"/>
      <c r="R319" s="162"/>
      <c r="S319" s="162">
        <v>1</v>
      </c>
      <c r="T319" s="162"/>
      <c r="U319" s="162"/>
      <c r="V319" s="162"/>
      <c r="W319" s="162">
        <v>1</v>
      </c>
      <c r="X319" s="162"/>
      <c r="Y319" s="162"/>
      <c r="Z319" s="162"/>
      <c r="AA319" s="162">
        <v>1</v>
      </c>
      <c r="AB319" s="162"/>
      <c r="AC319" s="162"/>
      <c r="AD319" s="162"/>
      <c r="AE319" s="162"/>
      <c r="AF319" s="162"/>
      <c r="AG319" s="162">
        <v>2</v>
      </c>
      <c r="AH319" s="162"/>
      <c r="AI319" s="162"/>
      <c r="AJ319" s="162"/>
      <c r="AK319" s="162"/>
      <c r="AL319" s="162"/>
      <c r="AM319" s="162">
        <v>4</v>
      </c>
      <c r="AN319" s="162"/>
      <c r="AO319" s="162"/>
      <c r="AP319" s="162"/>
      <c r="AQ319" s="162"/>
      <c r="AR319" s="162"/>
      <c r="AS319" s="162">
        <v>4</v>
      </c>
      <c r="AT319" s="162">
        <v>1</v>
      </c>
      <c r="AU319" s="162">
        <v>1</v>
      </c>
      <c r="AV319" s="162"/>
      <c r="AW319" s="162"/>
      <c r="AX319" s="162"/>
      <c r="AY319" s="162"/>
      <c r="AZ319" s="162">
        <v>1</v>
      </c>
      <c r="BA319" s="162">
        <v>1</v>
      </c>
      <c r="BB319" s="162">
        <v>1</v>
      </c>
      <c r="BC319" s="162">
        <v>1</v>
      </c>
      <c r="BD319" s="162">
        <v>1</v>
      </c>
      <c r="BE319" s="162">
        <v>2</v>
      </c>
      <c r="BF319" s="162"/>
      <c r="BG319" s="162"/>
      <c r="BH319" s="162"/>
      <c r="BI319" s="162"/>
      <c r="BJ319" s="162">
        <v>1</v>
      </c>
      <c r="BK319" s="162"/>
      <c r="BL319" s="162"/>
      <c r="BM319" s="162"/>
      <c r="BN319" s="162"/>
      <c r="BO319" s="162"/>
      <c r="BP319" s="162"/>
      <c r="BQ319" s="162"/>
      <c r="BR319" s="162"/>
      <c r="BS319" s="162"/>
      <c r="BT319" s="162"/>
      <c r="BU319" s="162"/>
      <c r="BV319" s="162"/>
      <c r="BW319" s="162"/>
      <c r="BX319" s="162"/>
      <c r="BY319" s="162"/>
      <c r="BZ319" s="162"/>
      <c r="CA319" s="162"/>
      <c r="CB319" s="162"/>
      <c r="CC319" s="162"/>
      <c r="CD319" s="162"/>
      <c r="CE319" s="162"/>
      <c r="CF319" s="162"/>
    </row>
    <row r="320" spans="1:84" x14ac:dyDescent="0.2">
      <c r="A320" s="57">
        <v>1021</v>
      </c>
      <c r="B320" s="162" t="s">
        <v>3655</v>
      </c>
      <c r="C320" s="195">
        <v>44503.781331018516</v>
      </c>
      <c r="D320" s="55">
        <v>280</v>
      </c>
      <c r="I320" s="46" t="s">
        <v>839</v>
      </c>
      <c r="J320" s="162">
        <v>1</v>
      </c>
      <c r="K320" s="162">
        <v>1</v>
      </c>
      <c r="L320" s="162"/>
      <c r="M320" s="162"/>
      <c r="N320" s="162"/>
      <c r="O320" s="162">
        <v>1</v>
      </c>
      <c r="P320" s="162"/>
      <c r="Q320" s="162"/>
      <c r="R320" s="162"/>
      <c r="S320" s="162">
        <v>1</v>
      </c>
      <c r="T320" s="162"/>
      <c r="U320" s="162"/>
      <c r="V320" s="162"/>
      <c r="W320" s="162">
        <v>1</v>
      </c>
      <c r="X320" s="162"/>
      <c r="Y320" s="162"/>
      <c r="Z320" s="162"/>
      <c r="AA320" s="162">
        <v>1</v>
      </c>
      <c r="AB320" s="162"/>
      <c r="AC320" s="162"/>
      <c r="AD320" s="162"/>
      <c r="AE320" s="162"/>
      <c r="AF320" s="162"/>
      <c r="AG320" s="162">
        <v>1</v>
      </c>
      <c r="AH320" s="162"/>
      <c r="AI320" s="162"/>
      <c r="AJ320" s="162"/>
      <c r="AK320" s="162"/>
      <c r="AL320" s="162"/>
      <c r="AM320" s="162">
        <v>1</v>
      </c>
      <c r="AN320" s="162">
        <v>1</v>
      </c>
      <c r="AO320" s="162">
        <v>1</v>
      </c>
      <c r="AP320" s="162">
        <v>1</v>
      </c>
      <c r="AQ320" s="162">
        <v>2</v>
      </c>
      <c r="AR320" s="162">
        <v>3</v>
      </c>
      <c r="AS320" s="162">
        <v>4</v>
      </c>
      <c r="AT320" s="162">
        <v>1</v>
      </c>
      <c r="AU320" s="162">
        <v>1</v>
      </c>
      <c r="AV320" s="162"/>
      <c r="AW320" s="162"/>
      <c r="AX320" s="162"/>
      <c r="AY320" s="162"/>
      <c r="AZ320" s="162">
        <v>1</v>
      </c>
      <c r="BA320" s="162">
        <v>1</v>
      </c>
      <c r="BB320" s="162">
        <v>1</v>
      </c>
      <c r="BC320" s="162">
        <v>1</v>
      </c>
      <c r="BD320" s="162">
        <v>1</v>
      </c>
      <c r="BE320" s="162">
        <v>1</v>
      </c>
      <c r="BF320" s="162"/>
      <c r="BG320" s="162"/>
      <c r="BH320" s="162"/>
      <c r="BI320" s="162"/>
      <c r="BJ320" s="162">
        <v>1</v>
      </c>
      <c r="BK320" s="162"/>
      <c r="BL320" s="162"/>
      <c r="BM320" s="162"/>
      <c r="BN320" s="162"/>
      <c r="BO320" s="162"/>
      <c r="BP320" s="162"/>
      <c r="BQ320" s="162"/>
      <c r="BR320" s="162"/>
      <c r="BS320" s="162"/>
      <c r="BT320" s="162"/>
      <c r="BU320" s="162"/>
      <c r="BV320" s="162"/>
      <c r="BW320" s="162"/>
      <c r="BX320" s="162"/>
      <c r="BY320" s="162"/>
      <c r="BZ320" s="162"/>
      <c r="CA320" s="162"/>
      <c r="CB320" s="162"/>
      <c r="CC320" s="162"/>
      <c r="CD320" s="162"/>
      <c r="CE320" s="162"/>
      <c r="CF320" s="162"/>
    </row>
    <row r="321" spans="1:84" x14ac:dyDescent="0.2">
      <c r="A321" s="57">
        <v>1021</v>
      </c>
      <c r="B321" s="162" t="s">
        <v>3655</v>
      </c>
      <c r="C321" s="195">
        <v>44503.800578703704</v>
      </c>
      <c r="D321" s="55">
        <v>280</v>
      </c>
      <c r="I321" s="46" t="s">
        <v>839</v>
      </c>
      <c r="J321" s="162">
        <v>4</v>
      </c>
      <c r="K321" s="162">
        <v>4</v>
      </c>
      <c r="L321" s="162">
        <v>2</v>
      </c>
      <c r="M321" s="162">
        <v>2</v>
      </c>
      <c r="N321" s="162">
        <v>2</v>
      </c>
      <c r="O321" s="162">
        <v>4</v>
      </c>
      <c r="P321" s="162">
        <v>2</v>
      </c>
      <c r="Q321" s="162">
        <v>2</v>
      </c>
      <c r="R321" s="162">
        <v>2</v>
      </c>
      <c r="S321" s="162">
        <v>1</v>
      </c>
      <c r="T321" s="162"/>
      <c r="U321" s="162"/>
      <c r="V321" s="162"/>
      <c r="W321" s="162">
        <v>2</v>
      </c>
      <c r="X321" s="162"/>
      <c r="Y321" s="162"/>
      <c r="Z321" s="162"/>
      <c r="AA321" s="162">
        <v>4</v>
      </c>
      <c r="AB321" s="162">
        <v>1</v>
      </c>
      <c r="AC321" s="162">
        <v>3</v>
      </c>
      <c r="AD321" s="162">
        <v>3</v>
      </c>
      <c r="AE321" s="162">
        <v>2</v>
      </c>
      <c r="AF321" s="162">
        <v>2</v>
      </c>
      <c r="AG321" s="162">
        <v>4</v>
      </c>
      <c r="AH321" s="162">
        <v>2</v>
      </c>
      <c r="AI321" s="162">
        <v>3</v>
      </c>
      <c r="AJ321" s="162">
        <v>3</v>
      </c>
      <c r="AK321" s="162">
        <v>2</v>
      </c>
      <c r="AL321" s="162">
        <v>2</v>
      </c>
      <c r="AM321" s="162">
        <v>4</v>
      </c>
      <c r="AN321" s="162"/>
      <c r="AO321" s="162"/>
      <c r="AP321" s="162"/>
      <c r="AQ321" s="162"/>
      <c r="AR321" s="162"/>
      <c r="AS321" s="162">
        <v>1</v>
      </c>
      <c r="AT321" s="162">
        <v>4</v>
      </c>
      <c r="AU321" s="162">
        <v>1</v>
      </c>
      <c r="AV321" s="162"/>
      <c r="AW321" s="162"/>
      <c r="AX321" s="162"/>
      <c r="AY321" s="162"/>
      <c r="AZ321" s="162">
        <v>1</v>
      </c>
      <c r="BA321" s="162">
        <v>1</v>
      </c>
      <c r="BB321" s="162">
        <v>1</v>
      </c>
      <c r="BC321" s="162">
        <v>1</v>
      </c>
      <c r="BD321" s="162">
        <v>1</v>
      </c>
      <c r="BE321" s="162">
        <v>4</v>
      </c>
      <c r="BF321" s="162">
        <v>2</v>
      </c>
      <c r="BG321" s="162">
        <v>2</v>
      </c>
      <c r="BH321" s="162">
        <v>2</v>
      </c>
      <c r="BI321" s="162">
        <v>2</v>
      </c>
      <c r="BJ321" s="162">
        <v>4</v>
      </c>
      <c r="BK321" s="162">
        <v>2</v>
      </c>
      <c r="BL321" s="162">
        <v>1</v>
      </c>
      <c r="BM321" s="162">
        <v>2</v>
      </c>
      <c r="BN321" s="162">
        <v>2</v>
      </c>
      <c r="BO321" s="162"/>
      <c r="BP321" s="162"/>
      <c r="BQ321" s="162"/>
      <c r="BR321" s="162"/>
      <c r="BS321" s="162"/>
      <c r="BT321" s="162"/>
      <c r="BU321" s="162"/>
      <c r="BV321" s="162"/>
      <c r="BW321" s="162"/>
      <c r="BX321" s="162"/>
      <c r="BY321" s="162"/>
      <c r="BZ321" s="162"/>
      <c r="CA321" s="162"/>
      <c r="CB321" s="162"/>
      <c r="CC321" s="162"/>
      <c r="CD321" s="162"/>
      <c r="CE321" s="162"/>
      <c r="CF321" s="162"/>
    </row>
    <row r="322" spans="1:84" x14ac:dyDescent="0.2">
      <c r="C322" s="195">
        <v>44522</v>
      </c>
      <c r="D322" s="55">
        <v>260</v>
      </c>
      <c r="E322" s="55" t="s">
        <v>840</v>
      </c>
      <c r="F322" s="55" t="s">
        <v>206</v>
      </c>
      <c r="G322" s="55" t="s">
        <v>338</v>
      </c>
      <c r="H322" s="50" t="s">
        <v>841</v>
      </c>
      <c r="J322" s="162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  <c r="AA322" s="162"/>
      <c r="AB322" s="162"/>
      <c r="AC322" s="162"/>
      <c r="AD322" s="162"/>
      <c r="AE322" s="162"/>
      <c r="AF322" s="162"/>
      <c r="AG322" s="162"/>
      <c r="AH322" s="162"/>
      <c r="AI322" s="162"/>
      <c r="AJ322" s="162"/>
      <c r="AK322" s="162"/>
      <c r="AL322" s="162"/>
      <c r="AM322" s="162"/>
      <c r="AN322" s="162"/>
      <c r="AO322" s="162"/>
      <c r="AP322" s="162"/>
      <c r="AQ322" s="162"/>
      <c r="AR322" s="162"/>
      <c r="AS322" s="162"/>
      <c r="AT322" s="162"/>
      <c r="AU322" s="162"/>
      <c r="AV322" s="162"/>
      <c r="AW322" s="162"/>
      <c r="AX322" s="162"/>
      <c r="AY322" s="162"/>
      <c r="AZ322" s="162"/>
      <c r="BA322" s="162"/>
      <c r="BB322" s="162"/>
      <c r="BC322" s="162"/>
      <c r="BD322" s="162"/>
      <c r="BE322" s="162"/>
      <c r="BF322" s="162"/>
      <c r="BG322" s="162"/>
      <c r="BH322" s="162"/>
      <c r="BI322" s="162"/>
      <c r="BJ322" s="162"/>
      <c r="BK322" s="162"/>
      <c r="BL322" s="162"/>
      <c r="BM322" s="162"/>
      <c r="BN322" s="162"/>
      <c r="BO322" s="162"/>
      <c r="BP322" s="162"/>
      <c r="BQ322" s="162"/>
      <c r="BR322" s="162"/>
      <c r="BS322" s="162"/>
      <c r="BT322" s="162"/>
      <c r="BU322" s="162"/>
      <c r="BV322" s="162"/>
      <c r="BW322" s="162"/>
      <c r="BX322" s="162"/>
      <c r="BY322" s="162"/>
      <c r="BZ322" s="162"/>
      <c r="CA322" s="162"/>
      <c r="CB322" s="162"/>
      <c r="CC322" s="162"/>
      <c r="CD322" s="162"/>
      <c r="CE322" s="162"/>
      <c r="CF322" s="162"/>
    </row>
    <row r="323" spans="1:84" x14ac:dyDescent="0.2">
      <c r="C323" s="195">
        <v>44503</v>
      </c>
      <c r="D323" s="55">
        <v>280</v>
      </c>
      <c r="E323" s="55" t="s">
        <v>842</v>
      </c>
      <c r="F323" s="55" t="s">
        <v>202</v>
      </c>
      <c r="G323" s="55" t="s">
        <v>203</v>
      </c>
      <c r="H323" s="50" t="s">
        <v>843</v>
      </c>
    </row>
    <row r="324" spans="1:84" x14ac:dyDescent="0.2">
      <c r="C324" s="195">
        <v>44503</v>
      </c>
      <c r="D324" s="55">
        <v>260</v>
      </c>
      <c r="E324" s="55" t="s">
        <v>844</v>
      </c>
      <c r="F324" s="55" t="s">
        <v>202</v>
      </c>
      <c r="G324" s="55" t="s">
        <v>203</v>
      </c>
      <c r="H324" s="50" t="s">
        <v>845</v>
      </c>
    </row>
    <row r="325" spans="1:84" x14ac:dyDescent="0.2">
      <c r="C325" s="195">
        <v>44501</v>
      </c>
      <c r="D325" s="55">
        <v>260</v>
      </c>
      <c r="E325" s="55" t="s">
        <v>846</v>
      </c>
      <c r="F325" s="55" t="s">
        <v>196</v>
      </c>
      <c r="G325" s="55" t="s">
        <v>361</v>
      </c>
      <c r="H325" s="50" t="s">
        <v>224</v>
      </c>
    </row>
    <row r="326" spans="1:84" x14ac:dyDescent="0.2">
      <c r="C326" s="195">
        <v>44504</v>
      </c>
      <c r="D326" s="55">
        <v>260</v>
      </c>
      <c r="E326" s="55" t="s">
        <v>847</v>
      </c>
      <c r="F326" s="55" t="s">
        <v>192</v>
      </c>
      <c r="G326" s="55" t="s">
        <v>324</v>
      </c>
      <c r="H326" s="50" t="s">
        <v>848</v>
      </c>
    </row>
    <row r="327" spans="1:84" x14ac:dyDescent="0.2">
      <c r="C327" s="195">
        <v>44501</v>
      </c>
      <c r="D327" s="55">
        <v>280</v>
      </c>
      <c r="E327" s="55" t="s">
        <v>849</v>
      </c>
      <c r="F327" s="55" t="s">
        <v>196</v>
      </c>
      <c r="G327" s="55" t="s">
        <v>361</v>
      </c>
      <c r="H327" s="50" t="s">
        <v>850</v>
      </c>
    </row>
    <row r="328" spans="1:84" x14ac:dyDescent="0.2">
      <c r="C328" s="195">
        <v>44505</v>
      </c>
      <c r="D328" s="55">
        <v>260</v>
      </c>
      <c r="E328" s="55" t="s">
        <v>851</v>
      </c>
      <c r="F328" s="55" t="s">
        <v>202</v>
      </c>
      <c r="G328" s="55" t="s">
        <v>203</v>
      </c>
      <c r="H328" s="50" t="s">
        <v>224</v>
      </c>
    </row>
    <row r="329" spans="1:84" x14ac:dyDescent="0.2">
      <c r="A329" s="57">
        <v>1121</v>
      </c>
      <c r="B329" t="s">
        <v>836</v>
      </c>
      <c r="C329" s="195">
        <v>44501</v>
      </c>
      <c r="D329" s="55">
        <v>280</v>
      </c>
      <c r="E329" s="55" t="s">
        <v>852</v>
      </c>
      <c r="F329" s="55" t="s">
        <v>206</v>
      </c>
      <c r="G329" s="55" t="s">
        <v>568</v>
      </c>
      <c r="H329" s="50" t="s">
        <v>853</v>
      </c>
      <c r="I329" s="46" t="s">
        <v>837</v>
      </c>
    </row>
    <row r="330" spans="1:84" x14ac:dyDescent="0.2">
      <c r="C330" s="195">
        <v>44505</v>
      </c>
      <c r="D330" s="55">
        <v>260</v>
      </c>
      <c r="E330" s="55" t="s">
        <v>854</v>
      </c>
      <c r="F330" s="55" t="s">
        <v>202</v>
      </c>
      <c r="G330" s="55" t="s">
        <v>203</v>
      </c>
      <c r="H330" s="50" t="s">
        <v>855</v>
      </c>
    </row>
    <row r="331" spans="1:84" x14ac:dyDescent="0.2">
      <c r="C331" s="195">
        <v>44510</v>
      </c>
      <c r="D331" s="55">
        <v>260</v>
      </c>
      <c r="E331" s="55" t="s">
        <v>856</v>
      </c>
      <c r="F331" s="55" t="s">
        <v>231</v>
      </c>
      <c r="G331" s="55" t="s">
        <v>255</v>
      </c>
      <c r="H331" s="50" t="s">
        <v>224</v>
      </c>
    </row>
    <row r="332" spans="1:84" x14ac:dyDescent="0.2">
      <c r="C332" s="195">
        <v>44508</v>
      </c>
      <c r="D332" s="55">
        <v>260</v>
      </c>
      <c r="E332" s="55" t="s">
        <v>857</v>
      </c>
      <c r="F332" s="55" t="s">
        <v>231</v>
      </c>
      <c r="G332" s="55" t="s">
        <v>255</v>
      </c>
      <c r="H332" s="50" t="s">
        <v>858</v>
      </c>
    </row>
    <row r="333" spans="1:84" x14ac:dyDescent="0.2">
      <c r="C333" s="195">
        <v>44512</v>
      </c>
      <c r="D333" s="55">
        <v>260</v>
      </c>
      <c r="E333" s="55" t="s">
        <v>859</v>
      </c>
      <c r="F333" s="55" t="s">
        <v>192</v>
      </c>
      <c r="G333" s="55" t="s">
        <v>401</v>
      </c>
      <c r="H333" s="50" t="s">
        <v>860</v>
      </c>
    </row>
    <row r="334" spans="1:84" x14ac:dyDescent="0.2">
      <c r="C334" s="195">
        <v>44501</v>
      </c>
      <c r="D334" s="55">
        <v>280</v>
      </c>
      <c r="E334" s="55" t="s">
        <v>861</v>
      </c>
      <c r="F334" s="55" t="s">
        <v>192</v>
      </c>
      <c r="G334" s="55" t="s">
        <v>453</v>
      </c>
      <c r="H334" s="50" t="s">
        <v>224</v>
      </c>
    </row>
    <row r="335" spans="1:84" x14ac:dyDescent="0.2">
      <c r="C335" s="195">
        <v>44501</v>
      </c>
      <c r="D335" s="55">
        <v>260</v>
      </c>
      <c r="E335" s="55" t="s">
        <v>862</v>
      </c>
      <c r="F335" s="55" t="s">
        <v>272</v>
      </c>
      <c r="G335" s="55" t="s">
        <v>533</v>
      </c>
      <c r="H335" s="50" t="s">
        <v>863</v>
      </c>
    </row>
    <row r="336" spans="1:84" x14ac:dyDescent="0.2">
      <c r="C336" s="195">
        <v>44503</v>
      </c>
      <c r="D336" s="55">
        <v>260</v>
      </c>
      <c r="E336" s="55" t="s">
        <v>864</v>
      </c>
      <c r="F336" s="55" t="s">
        <v>219</v>
      </c>
      <c r="G336" s="55" t="s">
        <v>223</v>
      </c>
      <c r="H336" s="50" t="s">
        <v>865</v>
      </c>
    </row>
    <row r="337" spans="1:62" x14ac:dyDescent="0.2">
      <c r="C337" s="195">
        <v>44501</v>
      </c>
      <c r="D337" s="55">
        <v>280</v>
      </c>
      <c r="E337" s="55" t="s">
        <v>866</v>
      </c>
      <c r="F337" s="55" t="s">
        <v>196</v>
      </c>
      <c r="G337" s="55" t="s">
        <v>557</v>
      </c>
      <c r="H337" s="50" t="s">
        <v>224</v>
      </c>
    </row>
    <row r="338" spans="1:62" x14ac:dyDescent="0.2">
      <c r="C338" s="195">
        <v>44501</v>
      </c>
      <c r="D338" s="55">
        <v>280</v>
      </c>
      <c r="E338" s="55" t="s">
        <v>867</v>
      </c>
      <c r="F338" s="55" t="s">
        <v>196</v>
      </c>
      <c r="G338" s="55" t="s">
        <v>349</v>
      </c>
      <c r="H338" s="50" t="s">
        <v>868</v>
      </c>
    </row>
    <row r="339" spans="1:62" x14ac:dyDescent="0.2">
      <c r="C339" s="195">
        <v>44502</v>
      </c>
      <c r="D339" s="55">
        <v>260</v>
      </c>
      <c r="E339" s="55" t="s">
        <v>869</v>
      </c>
      <c r="F339" s="55" t="s">
        <v>390</v>
      </c>
      <c r="G339" s="55" t="s">
        <v>870</v>
      </c>
      <c r="H339" s="50" t="s">
        <v>871</v>
      </c>
    </row>
    <row r="340" spans="1:62" x14ac:dyDescent="0.2">
      <c r="C340" s="195">
        <v>44530</v>
      </c>
      <c r="D340" s="55">
        <v>260</v>
      </c>
      <c r="E340" s="55" t="s">
        <v>872</v>
      </c>
      <c r="F340" s="55" t="s">
        <v>244</v>
      </c>
      <c r="G340" s="55" t="s">
        <v>696</v>
      </c>
      <c r="H340" s="50" t="s">
        <v>873</v>
      </c>
    </row>
    <row r="341" spans="1:62" x14ac:dyDescent="0.2">
      <c r="C341" s="195">
        <v>44503</v>
      </c>
      <c r="D341" s="55">
        <v>260</v>
      </c>
      <c r="E341" s="55" t="s">
        <v>874</v>
      </c>
      <c r="F341" s="55" t="s">
        <v>219</v>
      </c>
      <c r="G341" s="55" t="s">
        <v>220</v>
      </c>
      <c r="H341" s="50" t="s">
        <v>875</v>
      </c>
    </row>
    <row r="342" spans="1:62" x14ac:dyDescent="0.2">
      <c r="C342" s="195">
        <v>44504</v>
      </c>
      <c r="D342" s="55">
        <v>280</v>
      </c>
      <c r="E342" s="55" t="s">
        <v>876</v>
      </c>
      <c r="F342" s="55" t="s">
        <v>206</v>
      </c>
      <c r="G342" s="55" t="s">
        <v>207</v>
      </c>
      <c r="H342" s="50" t="s">
        <v>877</v>
      </c>
    </row>
    <row r="343" spans="1:62" x14ac:dyDescent="0.2">
      <c r="C343" s="195">
        <v>44501</v>
      </c>
      <c r="D343" s="55">
        <v>260</v>
      </c>
      <c r="E343" s="55" t="s">
        <v>878</v>
      </c>
      <c r="F343" s="55" t="s">
        <v>390</v>
      </c>
      <c r="G343" s="55" t="s">
        <v>590</v>
      </c>
      <c r="H343" s="50" t="s">
        <v>879</v>
      </c>
    </row>
    <row r="344" spans="1:62" x14ac:dyDescent="0.2">
      <c r="C344" s="195">
        <v>44501</v>
      </c>
      <c r="D344" s="55">
        <v>260</v>
      </c>
      <c r="E344" s="55" t="s">
        <v>880</v>
      </c>
      <c r="F344" s="55" t="s">
        <v>210</v>
      </c>
      <c r="G344" s="55" t="s">
        <v>235</v>
      </c>
      <c r="H344" s="50" t="s">
        <v>881</v>
      </c>
    </row>
    <row r="345" spans="1:62" x14ac:dyDescent="0.2">
      <c r="C345" s="195">
        <v>44501</v>
      </c>
      <c r="D345" s="55">
        <v>260</v>
      </c>
      <c r="E345" s="55" t="s">
        <v>882</v>
      </c>
      <c r="F345" s="55" t="s">
        <v>210</v>
      </c>
      <c r="G345" s="55" t="s">
        <v>883</v>
      </c>
      <c r="H345" s="50" t="s">
        <v>884</v>
      </c>
    </row>
    <row r="346" spans="1:62" x14ac:dyDescent="0.2">
      <c r="C346" s="195">
        <v>44501</v>
      </c>
      <c r="D346" s="55">
        <v>260</v>
      </c>
      <c r="E346" s="55" t="s">
        <v>885</v>
      </c>
      <c r="F346" s="55" t="s">
        <v>210</v>
      </c>
      <c r="G346" s="55" t="s">
        <v>235</v>
      </c>
      <c r="H346" s="50" t="s">
        <v>224</v>
      </c>
    </row>
    <row r="347" spans="1:62" x14ac:dyDescent="0.2">
      <c r="C347" s="195">
        <v>44501</v>
      </c>
      <c r="D347" s="55">
        <v>260</v>
      </c>
      <c r="E347" s="55" t="s">
        <v>886</v>
      </c>
      <c r="F347" s="55" t="s">
        <v>210</v>
      </c>
      <c r="G347" s="55" t="s">
        <v>235</v>
      </c>
      <c r="H347" s="50" t="s">
        <v>887</v>
      </c>
    </row>
    <row r="348" spans="1:62" x14ac:dyDescent="0.2">
      <c r="A348" s="57">
        <v>1121</v>
      </c>
      <c r="B348" t="s">
        <v>836</v>
      </c>
      <c r="C348" s="195">
        <v>44501</v>
      </c>
      <c r="D348" s="55">
        <v>280</v>
      </c>
      <c r="E348" s="55" t="s">
        <v>888</v>
      </c>
      <c r="F348" s="55" t="s">
        <v>263</v>
      </c>
      <c r="G348" s="55" t="s">
        <v>413</v>
      </c>
      <c r="I348" s="46" t="s">
        <v>839</v>
      </c>
      <c r="J348" s="52">
        <v>1</v>
      </c>
      <c r="K348" s="52">
        <v>1</v>
      </c>
      <c r="O348" s="1">
        <v>1</v>
      </c>
      <c r="S348" s="1">
        <v>1</v>
      </c>
      <c r="W348" s="1">
        <v>1</v>
      </c>
      <c r="AA348" s="1">
        <v>1</v>
      </c>
      <c r="AG348">
        <v>1</v>
      </c>
      <c r="AM348">
        <v>4</v>
      </c>
      <c r="AS348">
        <v>4</v>
      </c>
      <c r="AT348">
        <v>1</v>
      </c>
      <c r="AU348">
        <v>2</v>
      </c>
      <c r="AZ348">
        <v>1</v>
      </c>
      <c r="BA348">
        <v>1</v>
      </c>
      <c r="BB348">
        <v>1</v>
      </c>
      <c r="BC348">
        <v>1</v>
      </c>
      <c r="BD348">
        <v>1</v>
      </c>
      <c r="BE348">
        <v>1</v>
      </c>
      <c r="BJ348">
        <v>1</v>
      </c>
    </row>
    <row r="349" spans="1:62" x14ac:dyDescent="0.2">
      <c r="C349" s="195">
        <v>44501</v>
      </c>
      <c r="D349" s="55">
        <v>260</v>
      </c>
      <c r="E349" s="55" t="s">
        <v>889</v>
      </c>
      <c r="F349" s="55" t="s">
        <v>291</v>
      </c>
      <c r="G349" s="55" t="s">
        <v>643</v>
      </c>
    </row>
    <row r="350" spans="1:62" x14ac:dyDescent="0.2">
      <c r="C350" s="195">
        <v>44501</v>
      </c>
      <c r="D350" s="55">
        <v>260</v>
      </c>
      <c r="E350" s="55" t="s">
        <v>890</v>
      </c>
      <c r="F350" s="55" t="s">
        <v>267</v>
      </c>
      <c r="G350" s="55" t="s">
        <v>442</v>
      </c>
      <c r="H350" s="50" t="s">
        <v>224</v>
      </c>
    </row>
    <row r="351" spans="1:62" x14ac:dyDescent="0.2">
      <c r="C351" s="195">
        <v>44501</v>
      </c>
      <c r="D351" s="55">
        <v>260</v>
      </c>
      <c r="E351" s="55" t="s">
        <v>891</v>
      </c>
      <c r="F351" s="55" t="s">
        <v>263</v>
      </c>
      <c r="G351" s="55" t="s">
        <v>892</v>
      </c>
      <c r="H351" s="50" t="s">
        <v>893</v>
      </c>
    </row>
    <row r="352" spans="1:62" x14ac:dyDescent="0.2">
      <c r="C352" s="195">
        <v>44501</v>
      </c>
      <c r="D352" s="55">
        <v>280</v>
      </c>
      <c r="E352" s="55" t="s">
        <v>894</v>
      </c>
      <c r="F352" s="55" t="s">
        <v>231</v>
      </c>
      <c r="G352" s="55" t="s">
        <v>255</v>
      </c>
      <c r="H352" s="50" t="s">
        <v>895</v>
      </c>
    </row>
    <row r="353" spans="1:62" x14ac:dyDescent="0.2">
      <c r="C353" s="195">
        <v>44503</v>
      </c>
      <c r="D353" s="55">
        <v>280</v>
      </c>
      <c r="E353" s="55" t="s">
        <v>896</v>
      </c>
      <c r="F353" s="55" t="s">
        <v>196</v>
      </c>
      <c r="G353" s="55" t="s">
        <v>349</v>
      </c>
      <c r="H353" s="50" t="s">
        <v>897</v>
      </c>
    </row>
    <row r="354" spans="1:62" x14ac:dyDescent="0.2">
      <c r="C354" s="195">
        <v>44501</v>
      </c>
      <c r="D354" s="55">
        <v>260</v>
      </c>
      <c r="E354" s="55" t="s">
        <v>898</v>
      </c>
      <c r="F354" s="55" t="s">
        <v>196</v>
      </c>
      <c r="G354" s="55" t="s">
        <v>557</v>
      </c>
      <c r="H354" s="50" t="s">
        <v>224</v>
      </c>
    </row>
    <row r="355" spans="1:62" x14ac:dyDescent="0.2">
      <c r="C355" s="195">
        <v>44502</v>
      </c>
      <c r="D355" s="55">
        <v>280</v>
      </c>
      <c r="E355" s="55" t="s">
        <v>899</v>
      </c>
      <c r="F355" s="55" t="s">
        <v>196</v>
      </c>
      <c r="G355" s="55" t="s">
        <v>645</v>
      </c>
      <c r="H355" s="50" t="s">
        <v>900</v>
      </c>
    </row>
    <row r="356" spans="1:62" x14ac:dyDescent="0.2">
      <c r="C356" s="195">
        <v>44504</v>
      </c>
      <c r="D356" s="55">
        <v>260</v>
      </c>
      <c r="E356" s="55" t="s">
        <v>901</v>
      </c>
      <c r="F356" s="55" t="s">
        <v>210</v>
      </c>
      <c r="G356" s="55" t="s">
        <v>508</v>
      </c>
      <c r="H356" s="50" t="s">
        <v>902</v>
      </c>
    </row>
    <row r="357" spans="1:62" x14ac:dyDescent="0.2">
      <c r="C357" s="195">
        <v>44502</v>
      </c>
      <c r="D357" s="55">
        <v>260</v>
      </c>
      <c r="E357" s="55" t="s">
        <v>903</v>
      </c>
      <c r="F357" s="55" t="s">
        <v>192</v>
      </c>
      <c r="G357" s="55" t="s">
        <v>193</v>
      </c>
      <c r="H357" s="50" t="s">
        <v>904</v>
      </c>
    </row>
    <row r="358" spans="1:62" x14ac:dyDescent="0.2">
      <c r="C358" s="195">
        <v>44503</v>
      </c>
      <c r="D358" s="55">
        <v>280</v>
      </c>
      <c r="E358" s="55" t="s">
        <v>905</v>
      </c>
      <c r="F358" s="55" t="s">
        <v>210</v>
      </c>
      <c r="G358" s="55" t="s">
        <v>406</v>
      </c>
      <c r="H358" s="50" t="s">
        <v>906</v>
      </c>
    </row>
    <row r="359" spans="1:62" x14ac:dyDescent="0.2">
      <c r="C359" s="195">
        <v>44509</v>
      </c>
      <c r="D359" s="55">
        <v>280</v>
      </c>
      <c r="E359" s="55" t="s">
        <v>907</v>
      </c>
      <c r="F359" s="55" t="s">
        <v>192</v>
      </c>
      <c r="G359" s="55" t="s">
        <v>640</v>
      </c>
      <c r="H359" s="50" t="s">
        <v>224</v>
      </c>
    </row>
    <row r="360" spans="1:62" x14ac:dyDescent="0.2">
      <c r="C360" s="195">
        <v>44502</v>
      </c>
      <c r="D360" s="55">
        <v>280</v>
      </c>
      <c r="E360" s="55" t="s">
        <v>908</v>
      </c>
      <c r="F360" s="55" t="s">
        <v>291</v>
      </c>
      <c r="G360" s="55" t="s">
        <v>480</v>
      </c>
      <c r="H360" s="50" t="s">
        <v>909</v>
      </c>
    </row>
    <row r="361" spans="1:62" x14ac:dyDescent="0.2">
      <c r="C361" s="195">
        <v>44505</v>
      </c>
      <c r="D361" s="55">
        <v>260</v>
      </c>
      <c r="E361" s="55" t="s">
        <v>910</v>
      </c>
      <c r="F361" s="55" t="s">
        <v>267</v>
      </c>
      <c r="G361" s="55" t="s">
        <v>331</v>
      </c>
    </row>
    <row r="362" spans="1:62" x14ac:dyDescent="0.2">
      <c r="C362" s="195">
        <v>44502</v>
      </c>
      <c r="D362" s="55">
        <v>260</v>
      </c>
      <c r="E362" s="55" t="s">
        <v>911</v>
      </c>
      <c r="F362" s="55" t="s">
        <v>263</v>
      </c>
      <c r="G362" s="55" t="s">
        <v>506</v>
      </c>
      <c r="H362" s="50" t="s">
        <v>912</v>
      </c>
    </row>
    <row r="363" spans="1:62" x14ac:dyDescent="0.2">
      <c r="C363" s="195">
        <v>44504</v>
      </c>
      <c r="D363" s="55">
        <v>280</v>
      </c>
      <c r="E363" s="55" t="s">
        <v>913</v>
      </c>
      <c r="F363" s="55" t="s">
        <v>244</v>
      </c>
      <c r="G363" s="55" t="s">
        <v>378</v>
      </c>
      <c r="H363" s="50" t="s">
        <v>914</v>
      </c>
    </row>
    <row r="364" spans="1:62" x14ac:dyDescent="0.2">
      <c r="C364" s="195">
        <v>44502</v>
      </c>
      <c r="D364" s="55">
        <v>260</v>
      </c>
      <c r="E364" s="55" t="s">
        <v>915</v>
      </c>
      <c r="F364" s="55" t="s">
        <v>219</v>
      </c>
      <c r="G364" s="55" t="s">
        <v>916</v>
      </c>
      <c r="H364" s="50" t="s">
        <v>917</v>
      </c>
    </row>
    <row r="365" spans="1:62" x14ac:dyDescent="0.2">
      <c r="C365" s="195">
        <v>44508</v>
      </c>
      <c r="D365" s="55">
        <v>280</v>
      </c>
      <c r="E365" s="55" t="s">
        <v>918</v>
      </c>
      <c r="F365" s="55" t="s">
        <v>390</v>
      </c>
      <c r="G365" s="55" t="s">
        <v>490</v>
      </c>
      <c r="H365" s="50" t="s">
        <v>919</v>
      </c>
    </row>
    <row r="366" spans="1:62" x14ac:dyDescent="0.2">
      <c r="C366" s="195">
        <v>44502</v>
      </c>
      <c r="D366" s="55">
        <v>280</v>
      </c>
      <c r="E366" s="55" t="s">
        <v>920</v>
      </c>
      <c r="F366" s="55" t="s">
        <v>267</v>
      </c>
      <c r="G366" s="55" t="s">
        <v>813</v>
      </c>
      <c r="H366" s="50" t="s">
        <v>224</v>
      </c>
    </row>
    <row r="367" spans="1:62" x14ac:dyDescent="0.2">
      <c r="A367" s="57">
        <v>1121</v>
      </c>
      <c r="B367" s="162" t="s">
        <v>836</v>
      </c>
      <c r="C367" s="195">
        <v>44515</v>
      </c>
      <c r="D367" s="55">
        <v>260</v>
      </c>
      <c r="E367" s="55" t="s">
        <v>921</v>
      </c>
      <c r="F367" s="55" t="s">
        <v>390</v>
      </c>
      <c r="G367" s="55" t="s">
        <v>922</v>
      </c>
      <c r="H367" s="50" t="s">
        <v>224</v>
      </c>
      <c r="I367" s="46" t="s">
        <v>839</v>
      </c>
      <c r="J367" s="52">
        <v>1</v>
      </c>
      <c r="K367" s="52">
        <v>1</v>
      </c>
      <c r="O367" s="1">
        <v>1</v>
      </c>
      <c r="S367" s="1">
        <v>1</v>
      </c>
      <c r="W367" s="1">
        <v>1</v>
      </c>
      <c r="AA367" s="1">
        <v>1</v>
      </c>
      <c r="AG367">
        <v>1</v>
      </c>
      <c r="AM367">
        <v>4</v>
      </c>
      <c r="AS367">
        <v>1</v>
      </c>
      <c r="AT367">
        <v>1</v>
      </c>
      <c r="AU367">
        <v>1</v>
      </c>
      <c r="AZ367">
        <v>1</v>
      </c>
      <c r="BA367">
        <v>1</v>
      </c>
      <c r="BB367">
        <v>1</v>
      </c>
      <c r="BC367">
        <v>1</v>
      </c>
      <c r="BD367">
        <v>1</v>
      </c>
      <c r="BE367">
        <v>1</v>
      </c>
      <c r="BJ367">
        <v>1</v>
      </c>
    </row>
    <row r="368" spans="1:62" x14ac:dyDescent="0.2">
      <c r="C368" s="195">
        <v>44502</v>
      </c>
      <c r="D368" s="55">
        <v>280</v>
      </c>
      <c r="E368" s="55" t="s">
        <v>923</v>
      </c>
      <c r="F368" s="55" t="s">
        <v>202</v>
      </c>
      <c r="G368" s="55" t="s">
        <v>302</v>
      </c>
      <c r="H368" s="50" t="s">
        <v>924</v>
      </c>
    </row>
    <row r="369" spans="3:8" x14ac:dyDescent="0.2">
      <c r="C369" s="195">
        <v>44505</v>
      </c>
      <c r="D369" s="55">
        <v>260</v>
      </c>
      <c r="E369" s="55" t="s">
        <v>925</v>
      </c>
      <c r="F369" s="55" t="s">
        <v>196</v>
      </c>
      <c r="G369" s="55" t="s">
        <v>361</v>
      </c>
    </row>
    <row r="370" spans="3:8" x14ac:dyDescent="0.2">
      <c r="C370" s="195">
        <v>44515</v>
      </c>
      <c r="D370" s="55">
        <v>260</v>
      </c>
      <c r="E370" s="55" t="s">
        <v>926</v>
      </c>
      <c r="F370" s="55" t="s">
        <v>390</v>
      </c>
      <c r="G370" s="55" t="s">
        <v>922</v>
      </c>
      <c r="H370" s="50" t="s">
        <v>927</v>
      </c>
    </row>
    <row r="371" spans="3:8" x14ac:dyDescent="0.2">
      <c r="C371" s="195">
        <v>44503</v>
      </c>
      <c r="D371" s="55">
        <v>260</v>
      </c>
      <c r="E371" s="55" t="s">
        <v>928</v>
      </c>
      <c r="F371" s="55" t="s">
        <v>267</v>
      </c>
      <c r="G371" s="55" t="s">
        <v>813</v>
      </c>
    </row>
    <row r="372" spans="3:8" x14ac:dyDescent="0.2">
      <c r="C372" s="195">
        <v>44505</v>
      </c>
      <c r="D372" s="55">
        <v>280</v>
      </c>
      <c r="E372" s="55" t="s">
        <v>929</v>
      </c>
      <c r="F372" s="55" t="s">
        <v>267</v>
      </c>
      <c r="G372" s="55" t="s">
        <v>708</v>
      </c>
      <c r="H372" s="50" t="s">
        <v>930</v>
      </c>
    </row>
    <row r="373" spans="3:8" x14ac:dyDescent="0.2">
      <c r="C373" s="195">
        <v>44503</v>
      </c>
      <c r="D373" s="55">
        <v>280</v>
      </c>
      <c r="E373" s="55" t="s">
        <v>931</v>
      </c>
      <c r="F373" s="55" t="s">
        <v>196</v>
      </c>
      <c r="G373" s="55" t="s">
        <v>415</v>
      </c>
      <c r="H373" s="50" t="s">
        <v>932</v>
      </c>
    </row>
    <row r="374" spans="3:8" x14ac:dyDescent="0.2">
      <c r="C374" s="195">
        <v>44503</v>
      </c>
      <c r="D374" s="55">
        <v>260</v>
      </c>
      <c r="E374" s="55" t="s">
        <v>933</v>
      </c>
      <c r="F374" s="55" t="s">
        <v>196</v>
      </c>
      <c r="G374" s="55" t="s">
        <v>498</v>
      </c>
      <c r="H374" s="50" t="s">
        <v>934</v>
      </c>
    </row>
    <row r="375" spans="3:8" x14ac:dyDescent="0.2">
      <c r="C375" s="195">
        <v>44503</v>
      </c>
      <c r="D375" s="55">
        <v>280</v>
      </c>
      <c r="E375" s="55" t="s">
        <v>935</v>
      </c>
      <c r="F375" s="55" t="s">
        <v>192</v>
      </c>
      <c r="G375" s="55" t="s">
        <v>193</v>
      </c>
      <c r="H375" s="50" t="s">
        <v>224</v>
      </c>
    </row>
    <row r="376" spans="3:8" x14ac:dyDescent="0.2">
      <c r="C376" s="195">
        <v>44504</v>
      </c>
      <c r="D376" s="55">
        <v>280</v>
      </c>
      <c r="E376" s="55" t="s">
        <v>936</v>
      </c>
      <c r="F376" s="55" t="s">
        <v>231</v>
      </c>
      <c r="G376" s="55" t="s">
        <v>421</v>
      </c>
      <c r="H376" s="50" t="s">
        <v>937</v>
      </c>
    </row>
    <row r="377" spans="3:8" x14ac:dyDescent="0.2">
      <c r="C377" s="195">
        <v>44516</v>
      </c>
      <c r="D377" s="55">
        <v>280</v>
      </c>
      <c r="E377" s="55" t="s">
        <v>938</v>
      </c>
      <c r="F377" s="55" t="s">
        <v>390</v>
      </c>
      <c r="G377" s="55" t="s">
        <v>656</v>
      </c>
      <c r="H377" s="50" t="s">
        <v>224</v>
      </c>
    </row>
    <row r="378" spans="3:8" x14ac:dyDescent="0.2">
      <c r="C378" s="195">
        <v>44515</v>
      </c>
      <c r="D378" s="55">
        <v>280</v>
      </c>
      <c r="E378" s="55" t="s">
        <v>939</v>
      </c>
      <c r="F378" s="55" t="s">
        <v>210</v>
      </c>
      <c r="G378" s="55" t="s">
        <v>418</v>
      </c>
      <c r="H378" s="50" t="s">
        <v>940</v>
      </c>
    </row>
    <row r="379" spans="3:8" x14ac:dyDescent="0.2">
      <c r="C379" s="195">
        <v>44509</v>
      </c>
      <c r="D379" s="55">
        <v>260</v>
      </c>
      <c r="E379" s="55" t="s">
        <v>941</v>
      </c>
      <c r="F379" s="55" t="s">
        <v>192</v>
      </c>
      <c r="G379" s="55" t="s">
        <v>453</v>
      </c>
      <c r="H379" s="50" t="s">
        <v>942</v>
      </c>
    </row>
    <row r="380" spans="3:8" x14ac:dyDescent="0.2">
      <c r="C380" s="195">
        <v>44517</v>
      </c>
      <c r="D380" s="55">
        <v>260</v>
      </c>
      <c r="E380" s="55" t="s">
        <v>943</v>
      </c>
      <c r="F380" s="55" t="s">
        <v>210</v>
      </c>
      <c r="G380" s="55" t="s">
        <v>211</v>
      </c>
      <c r="H380" s="50" t="s">
        <v>944</v>
      </c>
    </row>
    <row r="381" spans="3:8" x14ac:dyDescent="0.2">
      <c r="C381" s="195">
        <v>44505</v>
      </c>
      <c r="D381" s="55">
        <v>280</v>
      </c>
      <c r="E381" s="55" t="s">
        <v>945</v>
      </c>
      <c r="F381" s="55" t="s">
        <v>210</v>
      </c>
      <c r="G381" s="55" t="s">
        <v>383</v>
      </c>
      <c r="H381" s="50" t="s">
        <v>224</v>
      </c>
    </row>
    <row r="382" spans="3:8" x14ac:dyDescent="0.2">
      <c r="C382" s="195">
        <v>44505</v>
      </c>
      <c r="D382" s="55">
        <v>280</v>
      </c>
      <c r="E382" s="55" t="s">
        <v>946</v>
      </c>
      <c r="F382" s="55" t="s">
        <v>210</v>
      </c>
      <c r="G382" s="55" t="s">
        <v>383</v>
      </c>
      <c r="H382" s="50" t="s">
        <v>224</v>
      </c>
    </row>
    <row r="383" spans="3:8" x14ac:dyDescent="0.2">
      <c r="C383" s="195">
        <v>44504</v>
      </c>
      <c r="D383" s="55">
        <v>260</v>
      </c>
      <c r="E383" s="55" t="s">
        <v>947</v>
      </c>
      <c r="F383" s="55" t="s">
        <v>202</v>
      </c>
      <c r="G383" s="55" t="s">
        <v>341</v>
      </c>
    </row>
    <row r="384" spans="3:8" x14ac:dyDescent="0.2">
      <c r="C384" s="195">
        <v>44503</v>
      </c>
      <c r="D384" s="55">
        <v>280</v>
      </c>
      <c r="E384" s="55" t="s">
        <v>948</v>
      </c>
      <c r="F384" s="55" t="s">
        <v>231</v>
      </c>
      <c r="G384" s="55" t="s">
        <v>421</v>
      </c>
      <c r="H384" s="50" t="s">
        <v>949</v>
      </c>
    </row>
    <row r="385" spans="1:62" x14ac:dyDescent="0.2">
      <c r="C385" s="195">
        <v>44504</v>
      </c>
      <c r="D385" s="55">
        <v>260</v>
      </c>
      <c r="E385" s="55" t="s">
        <v>950</v>
      </c>
      <c r="F385" s="55" t="s">
        <v>202</v>
      </c>
      <c r="G385" s="55" t="s">
        <v>341</v>
      </c>
      <c r="H385" s="50" t="s">
        <v>951</v>
      </c>
    </row>
    <row r="386" spans="1:62" x14ac:dyDescent="0.2">
      <c r="C386" s="195">
        <v>44509</v>
      </c>
      <c r="D386" s="55">
        <v>260</v>
      </c>
      <c r="E386" s="55" t="s">
        <v>952</v>
      </c>
      <c r="F386" s="55" t="s">
        <v>192</v>
      </c>
      <c r="G386" s="55" t="s">
        <v>453</v>
      </c>
      <c r="H386" s="50" t="s">
        <v>224</v>
      </c>
    </row>
    <row r="387" spans="1:62" x14ac:dyDescent="0.2">
      <c r="C387" s="195">
        <v>44504</v>
      </c>
      <c r="D387" s="55">
        <v>280</v>
      </c>
      <c r="E387" s="55" t="s">
        <v>953</v>
      </c>
      <c r="F387" s="55" t="s">
        <v>390</v>
      </c>
      <c r="G387" s="55" t="s">
        <v>490</v>
      </c>
      <c r="H387" s="50" t="s">
        <v>954</v>
      </c>
    </row>
    <row r="388" spans="1:62" x14ac:dyDescent="0.2">
      <c r="C388" s="195">
        <v>44505</v>
      </c>
      <c r="D388" s="55">
        <v>260</v>
      </c>
      <c r="E388" s="55" t="s">
        <v>955</v>
      </c>
      <c r="F388" s="55" t="s">
        <v>267</v>
      </c>
      <c r="G388" s="55" t="s">
        <v>813</v>
      </c>
      <c r="H388" s="50" t="s">
        <v>956</v>
      </c>
    </row>
    <row r="389" spans="1:62" x14ac:dyDescent="0.2">
      <c r="A389" s="57">
        <v>1121</v>
      </c>
      <c r="B389" t="s">
        <v>836</v>
      </c>
      <c r="C389" s="195">
        <v>44509</v>
      </c>
      <c r="D389" s="55">
        <v>280</v>
      </c>
      <c r="E389" s="55" t="s">
        <v>957</v>
      </c>
      <c r="F389" s="55" t="s">
        <v>192</v>
      </c>
      <c r="G389" s="55" t="s">
        <v>640</v>
      </c>
      <c r="H389" s="50" t="s">
        <v>224</v>
      </c>
      <c r="I389" s="46" t="s">
        <v>839</v>
      </c>
      <c r="J389" s="52">
        <v>2</v>
      </c>
      <c r="K389" s="52">
        <v>1</v>
      </c>
      <c r="O389" s="1">
        <v>2</v>
      </c>
      <c r="S389" s="1">
        <v>1</v>
      </c>
      <c r="W389" s="1">
        <v>1</v>
      </c>
      <c r="AA389" s="1">
        <v>5</v>
      </c>
      <c r="AG389">
        <v>2</v>
      </c>
      <c r="AM389">
        <v>1</v>
      </c>
      <c r="AN389">
        <v>3</v>
      </c>
      <c r="AO389">
        <v>1</v>
      </c>
      <c r="AP389">
        <v>2</v>
      </c>
      <c r="AQ389">
        <v>1</v>
      </c>
      <c r="AR389">
        <v>1</v>
      </c>
      <c r="AS389">
        <v>2</v>
      </c>
      <c r="AT389">
        <v>2</v>
      </c>
      <c r="AU389">
        <v>1</v>
      </c>
      <c r="AZ389">
        <v>1</v>
      </c>
      <c r="BA389">
        <v>1</v>
      </c>
      <c r="BB389">
        <v>1</v>
      </c>
      <c r="BC389">
        <v>1</v>
      </c>
      <c r="BD389">
        <v>1</v>
      </c>
      <c r="BE389">
        <v>2</v>
      </c>
      <c r="BJ389">
        <v>2</v>
      </c>
    </row>
    <row r="390" spans="1:62" x14ac:dyDescent="0.2">
      <c r="C390" s="195">
        <v>44503</v>
      </c>
      <c r="D390" s="55">
        <v>280</v>
      </c>
      <c r="E390" s="55" t="s">
        <v>958</v>
      </c>
      <c r="F390" s="55" t="s">
        <v>272</v>
      </c>
      <c r="G390" s="55" t="s">
        <v>533</v>
      </c>
      <c r="H390" s="50" t="s">
        <v>959</v>
      </c>
    </row>
    <row r="391" spans="1:62" x14ac:dyDescent="0.2">
      <c r="C391" s="195">
        <v>44503</v>
      </c>
      <c r="D391" s="55">
        <v>260</v>
      </c>
      <c r="E391" s="55" t="s">
        <v>960</v>
      </c>
      <c r="F391" s="55" t="s">
        <v>263</v>
      </c>
      <c r="G391" s="55" t="s">
        <v>806</v>
      </c>
      <c r="H391" s="50" t="s">
        <v>961</v>
      </c>
    </row>
    <row r="392" spans="1:62" x14ac:dyDescent="0.2">
      <c r="C392" s="195">
        <v>44503</v>
      </c>
      <c r="D392" s="55">
        <v>280</v>
      </c>
      <c r="E392" s="55" t="s">
        <v>962</v>
      </c>
      <c r="F392" s="55" t="s">
        <v>291</v>
      </c>
      <c r="G392" s="55" t="s">
        <v>643</v>
      </c>
      <c r="H392" s="50" t="s">
        <v>963</v>
      </c>
    </row>
    <row r="393" spans="1:62" x14ac:dyDescent="0.2">
      <c r="C393" s="195">
        <v>44504</v>
      </c>
      <c r="D393" s="55">
        <v>280</v>
      </c>
      <c r="E393" s="55" t="s">
        <v>964</v>
      </c>
      <c r="F393" s="55" t="s">
        <v>210</v>
      </c>
      <c r="G393" s="55" t="s">
        <v>406</v>
      </c>
      <c r="H393" s="50" t="s">
        <v>965</v>
      </c>
    </row>
    <row r="394" spans="1:62" x14ac:dyDescent="0.2">
      <c r="C394" s="195">
        <v>44515</v>
      </c>
      <c r="D394" s="55">
        <v>260</v>
      </c>
      <c r="E394" s="55" t="s">
        <v>966</v>
      </c>
      <c r="F394" s="55" t="s">
        <v>210</v>
      </c>
      <c r="G394" s="55" t="s">
        <v>306</v>
      </c>
      <c r="H394" s="50" t="s">
        <v>967</v>
      </c>
    </row>
    <row r="395" spans="1:62" x14ac:dyDescent="0.2">
      <c r="C395" s="195">
        <v>44504</v>
      </c>
      <c r="D395" s="55">
        <v>260</v>
      </c>
      <c r="E395" s="55" t="s">
        <v>968</v>
      </c>
      <c r="F395" s="55" t="s">
        <v>196</v>
      </c>
      <c r="G395" s="55" t="s">
        <v>645</v>
      </c>
      <c r="H395" s="50" t="s">
        <v>969</v>
      </c>
    </row>
    <row r="396" spans="1:62" x14ac:dyDescent="0.2">
      <c r="C396" s="195">
        <v>44505</v>
      </c>
      <c r="D396" s="55">
        <v>280</v>
      </c>
      <c r="E396" s="55" t="s">
        <v>970</v>
      </c>
      <c r="F396" s="55" t="s">
        <v>390</v>
      </c>
      <c r="G396" s="55" t="s">
        <v>408</v>
      </c>
      <c r="H396" s="50" t="s">
        <v>971</v>
      </c>
    </row>
    <row r="397" spans="1:62" x14ac:dyDescent="0.2">
      <c r="C397" s="195">
        <v>44504</v>
      </c>
      <c r="D397" s="55">
        <v>260</v>
      </c>
      <c r="E397" s="55" t="s">
        <v>972</v>
      </c>
      <c r="F397" s="55" t="s">
        <v>231</v>
      </c>
      <c r="G397" s="55" t="s">
        <v>371</v>
      </c>
      <c r="H397" s="50" t="s">
        <v>224</v>
      </c>
    </row>
    <row r="398" spans="1:62" x14ac:dyDescent="0.2">
      <c r="C398" s="195">
        <v>44512</v>
      </c>
      <c r="D398" s="55">
        <v>260</v>
      </c>
      <c r="E398" s="55" t="s">
        <v>973</v>
      </c>
      <c r="F398" s="55" t="s">
        <v>219</v>
      </c>
      <c r="G398" s="55" t="s">
        <v>540</v>
      </c>
      <c r="H398" s="50" t="s">
        <v>974</v>
      </c>
    </row>
    <row r="399" spans="1:62" x14ac:dyDescent="0.2">
      <c r="C399" s="195">
        <v>44512</v>
      </c>
      <c r="D399" s="55">
        <v>260</v>
      </c>
      <c r="E399" s="55" t="s">
        <v>975</v>
      </c>
      <c r="F399" s="55" t="s">
        <v>192</v>
      </c>
      <c r="G399" s="55" t="s">
        <v>401</v>
      </c>
      <c r="H399" s="50" t="s">
        <v>224</v>
      </c>
    </row>
    <row r="400" spans="1:62" x14ac:dyDescent="0.2">
      <c r="C400" s="195">
        <v>44504</v>
      </c>
      <c r="D400" s="55">
        <v>260</v>
      </c>
      <c r="E400" s="55" t="s">
        <v>976</v>
      </c>
      <c r="F400" s="55" t="s">
        <v>390</v>
      </c>
      <c r="G400" s="55" t="s">
        <v>391</v>
      </c>
      <c r="H400" s="50" t="s">
        <v>977</v>
      </c>
    </row>
    <row r="401" spans="1:9" x14ac:dyDescent="0.2">
      <c r="C401" s="195">
        <v>44505</v>
      </c>
      <c r="D401" s="55">
        <v>260</v>
      </c>
      <c r="E401" s="55" t="s">
        <v>978</v>
      </c>
      <c r="F401" s="55" t="s">
        <v>202</v>
      </c>
      <c r="G401" s="55" t="s">
        <v>321</v>
      </c>
      <c r="H401" s="50" t="s">
        <v>979</v>
      </c>
    </row>
    <row r="402" spans="1:9" x14ac:dyDescent="0.2">
      <c r="C402" s="195">
        <v>44504</v>
      </c>
      <c r="D402" s="55">
        <v>280</v>
      </c>
      <c r="E402" s="55" t="s">
        <v>980</v>
      </c>
      <c r="F402" s="55" t="s">
        <v>210</v>
      </c>
      <c r="G402" s="55" t="s">
        <v>406</v>
      </c>
    </row>
    <row r="403" spans="1:9" x14ac:dyDescent="0.2">
      <c r="C403" s="195">
        <v>44512</v>
      </c>
      <c r="D403" s="55">
        <v>260</v>
      </c>
      <c r="E403" s="55" t="s">
        <v>981</v>
      </c>
      <c r="F403" s="55" t="s">
        <v>219</v>
      </c>
      <c r="G403" s="55" t="s">
        <v>540</v>
      </c>
      <c r="H403" s="50" t="s">
        <v>982</v>
      </c>
    </row>
    <row r="404" spans="1:9" x14ac:dyDescent="0.2">
      <c r="C404" s="195">
        <v>44505</v>
      </c>
      <c r="D404" s="55">
        <v>260</v>
      </c>
      <c r="E404" s="55" t="s">
        <v>983</v>
      </c>
      <c r="F404" s="55" t="s">
        <v>196</v>
      </c>
      <c r="G404" s="55" t="s">
        <v>349</v>
      </c>
      <c r="H404" s="50" t="s">
        <v>984</v>
      </c>
    </row>
    <row r="405" spans="1:9" x14ac:dyDescent="0.2">
      <c r="C405" s="195">
        <v>44509</v>
      </c>
      <c r="D405" s="55">
        <v>280</v>
      </c>
      <c r="E405" s="55" t="s">
        <v>985</v>
      </c>
      <c r="F405" s="55" t="s">
        <v>390</v>
      </c>
      <c r="G405" s="55" t="s">
        <v>391</v>
      </c>
      <c r="H405" s="50" t="s">
        <v>986</v>
      </c>
    </row>
    <row r="406" spans="1:9" x14ac:dyDescent="0.2">
      <c r="A406" s="57">
        <v>1121</v>
      </c>
      <c r="B406" t="s">
        <v>836</v>
      </c>
      <c r="C406" s="195">
        <v>44509</v>
      </c>
      <c r="D406" s="55">
        <v>280</v>
      </c>
      <c r="E406" s="55" t="s">
        <v>987</v>
      </c>
      <c r="F406" s="55" t="s">
        <v>244</v>
      </c>
      <c r="G406" s="55" t="s">
        <v>696</v>
      </c>
      <c r="H406" s="50" t="s">
        <v>224</v>
      </c>
      <c r="I406" s="46" t="s">
        <v>837</v>
      </c>
    </row>
    <row r="407" spans="1:9" x14ac:dyDescent="0.2">
      <c r="C407" s="195">
        <v>44505</v>
      </c>
      <c r="D407" s="55">
        <v>260</v>
      </c>
      <c r="E407" s="55" t="s">
        <v>988</v>
      </c>
      <c r="F407" s="55" t="s">
        <v>263</v>
      </c>
      <c r="G407" s="55" t="s">
        <v>806</v>
      </c>
      <c r="H407" s="50" t="s">
        <v>989</v>
      </c>
    </row>
    <row r="408" spans="1:9" x14ac:dyDescent="0.2">
      <c r="C408" s="195">
        <v>44512</v>
      </c>
      <c r="D408" s="55">
        <v>280</v>
      </c>
      <c r="E408" s="55" t="s">
        <v>990</v>
      </c>
      <c r="F408" s="55" t="s">
        <v>219</v>
      </c>
      <c r="G408" s="55" t="s">
        <v>451</v>
      </c>
      <c r="H408" s="50" t="s">
        <v>224</v>
      </c>
    </row>
    <row r="409" spans="1:9" x14ac:dyDescent="0.2">
      <c r="C409" s="195">
        <v>44523</v>
      </c>
      <c r="D409" s="55">
        <v>260</v>
      </c>
      <c r="E409" s="55" t="s">
        <v>991</v>
      </c>
      <c r="F409" s="55" t="s">
        <v>272</v>
      </c>
      <c r="G409" s="55" t="s">
        <v>683</v>
      </c>
      <c r="H409" s="50" t="s">
        <v>992</v>
      </c>
    </row>
    <row r="410" spans="1:9" x14ac:dyDescent="0.2">
      <c r="C410" s="195">
        <v>44505</v>
      </c>
      <c r="D410" s="55">
        <v>260</v>
      </c>
      <c r="E410" s="55" t="s">
        <v>993</v>
      </c>
      <c r="F410" s="55" t="s">
        <v>196</v>
      </c>
      <c r="G410" s="55" t="s">
        <v>361</v>
      </c>
    </row>
    <row r="411" spans="1:9" x14ac:dyDescent="0.2">
      <c r="C411" s="195">
        <v>44505</v>
      </c>
      <c r="D411" s="55">
        <v>280</v>
      </c>
      <c r="E411" s="55" t="s">
        <v>994</v>
      </c>
      <c r="F411" s="55" t="s">
        <v>263</v>
      </c>
      <c r="G411" s="55" t="s">
        <v>995</v>
      </c>
      <c r="H411" s="50" t="s">
        <v>996</v>
      </c>
    </row>
    <row r="412" spans="1:9" x14ac:dyDescent="0.2">
      <c r="C412" s="195">
        <v>44505</v>
      </c>
      <c r="D412" s="55">
        <v>280</v>
      </c>
      <c r="E412" s="55" t="s">
        <v>997</v>
      </c>
      <c r="F412" s="55" t="s">
        <v>210</v>
      </c>
      <c r="G412" s="55" t="s">
        <v>496</v>
      </c>
      <c r="H412" s="50" t="s">
        <v>224</v>
      </c>
    </row>
    <row r="413" spans="1:9" x14ac:dyDescent="0.2">
      <c r="C413" s="195">
        <v>44505</v>
      </c>
      <c r="D413" s="55">
        <v>280</v>
      </c>
      <c r="E413" s="55" t="s">
        <v>998</v>
      </c>
      <c r="F413" s="55" t="s">
        <v>196</v>
      </c>
      <c r="G413" s="55" t="s">
        <v>361</v>
      </c>
      <c r="H413" s="50" t="s">
        <v>999</v>
      </c>
    </row>
    <row r="414" spans="1:9" x14ac:dyDescent="0.2">
      <c r="C414" s="195">
        <v>44505</v>
      </c>
      <c r="D414" s="55">
        <v>280</v>
      </c>
      <c r="E414" s="55" t="s">
        <v>1000</v>
      </c>
      <c r="F414" s="55" t="s">
        <v>263</v>
      </c>
      <c r="G414" s="55" t="s">
        <v>995</v>
      </c>
      <c r="H414" s="50" t="s">
        <v>1001</v>
      </c>
    </row>
    <row r="415" spans="1:9" x14ac:dyDescent="0.2">
      <c r="C415" s="195">
        <v>44509</v>
      </c>
      <c r="D415" s="55">
        <v>280</v>
      </c>
      <c r="E415" s="55" t="s">
        <v>1002</v>
      </c>
      <c r="F415" s="55" t="s">
        <v>244</v>
      </c>
      <c r="G415" s="55" t="s">
        <v>393</v>
      </c>
      <c r="H415" s="50" t="s">
        <v>1003</v>
      </c>
    </row>
    <row r="416" spans="1:9" x14ac:dyDescent="0.2">
      <c r="C416" s="195">
        <v>44505</v>
      </c>
      <c r="D416" s="55">
        <v>280</v>
      </c>
      <c r="E416" s="55" t="s">
        <v>1004</v>
      </c>
      <c r="F416" s="55" t="s">
        <v>263</v>
      </c>
      <c r="G416" s="55" t="s">
        <v>1005</v>
      </c>
    </row>
    <row r="417" spans="3:8" x14ac:dyDescent="0.2">
      <c r="C417" s="195">
        <v>44508</v>
      </c>
      <c r="D417" s="55">
        <v>280</v>
      </c>
      <c r="E417" s="55" t="s">
        <v>1006</v>
      </c>
      <c r="F417" s="55" t="s">
        <v>231</v>
      </c>
      <c r="G417" s="55" t="s">
        <v>255</v>
      </c>
      <c r="H417" s="50" t="s">
        <v>1007</v>
      </c>
    </row>
    <row r="418" spans="3:8" x14ac:dyDescent="0.2">
      <c r="C418" s="195">
        <v>44508</v>
      </c>
      <c r="D418" s="55">
        <v>280</v>
      </c>
      <c r="E418" s="55" t="s">
        <v>1008</v>
      </c>
      <c r="F418" s="55" t="s">
        <v>231</v>
      </c>
      <c r="G418" s="55" t="s">
        <v>255</v>
      </c>
      <c r="H418" s="50" t="s">
        <v>1009</v>
      </c>
    </row>
    <row r="419" spans="3:8" x14ac:dyDescent="0.2">
      <c r="C419" s="195">
        <v>44508</v>
      </c>
      <c r="D419" s="55">
        <v>260</v>
      </c>
      <c r="E419" s="55" t="s">
        <v>1010</v>
      </c>
      <c r="F419" s="55" t="s">
        <v>210</v>
      </c>
      <c r="G419" s="55" t="s">
        <v>508</v>
      </c>
      <c r="H419" s="50" t="s">
        <v>1011</v>
      </c>
    </row>
    <row r="420" spans="3:8" x14ac:dyDescent="0.2">
      <c r="C420" s="195">
        <v>44508</v>
      </c>
      <c r="D420" s="55">
        <v>260</v>
      </c>
      <c r="E420" s="55" t="s">
        <v>1012</v>
      </c>
      <c r="F420" s="55" t="s">
        <v>210</v>
      </c>
      <c r="G420" s="55" t="s">
        <v>508</v>
      </c>
      <c r="H420" s="50" t="s">
        <v>224</v>
      </c>
    </row>
    <row r="421" spans="3:8" x14ac:dyDescent="0.2">
      <c r="C421" s="195">
        <v>44512</v>
      </c>
      <c r="D421" s="55">
        <v>260</v>
      </c>
      <c r="E421" s="55" t="s">
        <v>1013</v>
      </c>
      <c r="F421" s="55" t="s">
        <v>231</v>
      </c>
      <c r="G421" s="55" t="s">
        <v>255</v>
      </c>
      <c r="H421" s="50" t="s">
        <v>1014</v>
      </c>
    </row>
    <row r="422" spans="3:8" x14ac:dyDescent="0.2">
      <c r="C422" s="195">
        <v>44508</v>
      </c>
      <c r="D422" s="55">
        <v>280</v>
      </c>
      <c r="E422" s="55" t="s">
        <v>1015</v>
      </c>
      <c r="F422" s="55" t="s">
        <v>390</v>
      </c>
      <c r="G422" s="55" t="s">
        <v>671</v>
      </c>
      <c r="H422" s="50" t="s">
        <v>1016</v>
      </c>
    </row>
    <row r="423" spans="3:8" x14ac:dyDescent="0.2">
      <c r="C423" s="195">
        <v>44508</v>
      </c>
      <c r="D423" s="55">
        <v>280</v>
      </c>
      <c r="E423" s="55" t="s">
        <v>1017</v>
      </c>
      <c r="F423" s="55" t="s">
        <v>267</v>
      </c>
      <c r="G423" s="55" t="s">
        <v>708</v>
      </c>
      <c r="H423" s="50" t="s">
        <v>1018</v>
      </c>
    </row>
    <row r="424" spans="3:8" x14ac:dyDescent="0.2">
      <c r="C424" s="195">
        <v>44509</v>
      </c>
      <c r="D424" s="55">
        <v>280</v>
      </c>
      <c r="E424" s="55" t="s">
        <v>1019</v>
      </c>
      <c r="F424" s="55" t="s">
        <v>231</v>
      </c>
      <c r="G424" s="55" t="s">
        <v>232</v>
      </c>
      <c r="H424" s="50" t="s">
        <v>224</v>
      </c>
    </row>
    <row r="425" spans="3:8" x14ac:dyDescent="0.2">
      <c r="C425" s="195">
        <v>44509</v>
      </c>
      <c r="D425" s="55">
        <v>280</v>
      </c>
      <c r="E425" s="55" t="s">
        <v>1020</v>
      </c>
      <c r="F425" s="55" t="s">
        <v>263</v>
      </c>
      <c r="G425" s="55" t="s">
        <v>892</v>
      </c>
      <c r="H425" s="50" t="s">
        <v>1021</v>
      </c>
    </row>
    <row r="426" spans="3:8" x14ac:dyDescent="0.2">
      <c r="C426" s="195">
        <v>44519</v>
      </c>
      <c r="D426" s="55">
        <v>280</v>
      </c>
      <c r="E426" s="55" t="s">
        <v>1022</v>
      </c>
      <c r="F426" s="55" t="s">
        <v>206</v>
      </c>
      <c r="G426" s="55" t="s">
        <v>568</v>
      </c>
      <c r="H426" s="50" t="s">
        <v>224</v>
      </c>
    </row>
    <row r="427" spans="3:8" x14ac:dyDescent="0.2">
      <c r="C427" s="195">
        <v>44509</v>
      </c>
      <c r="D427" s="55">
        <v>280</v>
      </c>
      <c r="E427" s="55" t="s">
        <v>1023</v>
      </c>
      <c r="F427" s="55" t="s">
        <v>267</v>
      </c>
      <c r="G427" s="55" t="s">
        <v>442</v>
      </c>
      <c r="H427" s="50" t="s">
        <v>1024</v>
      </c>
    </row>
    <row r="428" spans="3:8" x14ac:dyDescent="0.2">
      <c r="C428" s="195">
        <v>44509</v>
      </c>
      <c r="D428" s="55">
        <v>260</v>
      </c>
      <c r="E428" s="55" t="s">
        <v>1025</v>
      </c>
      <c r="F428" s="55" t="s">
        <v>231</v>
      </c>
      <c r="G428" s="55" t="s">
        <v>387</v>
      </c>
      <c r="H428" s="50" t="s">
        <v>1026</v>
      </c>
    </row>
    <row r="429" spans="3:8" x14ac:dyDescent="0.2">
      <c r="C429" s="195">
        <v>44512</v>
      </c>
      <c r="D429" s="55">
        <v>280</v>
      </c>
      <c r="E429" s="55" t="s">
        <v>1027</v>
      </c>
      <c r="F429" s="55" t="s">
        <v>219</v>
      </c>
      <c r="G429" s="55" t="s">
        <v>561</v>
      </c>
      <c r="H429" s="50" t="s">
        <v>1028</v>
      </c>
    </row>
    <row r="430" spans="3:8" x14ac:dyDescent="0.2">
      <c r="C430" s="195">
        <v>44509</v>
      </c>
      <c r="D430" s="55">
        <v>280</v>
      </c>
      <c r="E430" s="55" t="s">
        <v>1029</v>
      </c>
      <c r="F430" s="55" t="s">
        <v>272</v>
      </c>
      <c r="G430" s="55" t="s">
        <v>533</v>
      </c>
      <c r="H430" s="50" t="s">
        <v>1030</v>
      </c>
    </row>
    <row r="431" spans="3:8" x14ac:dyDescent="0.2">
      <c r="C431" s="195">
        <v>44510</v>
      </c>
      <c r="D431" s="55">
        <v>280</v>
      </c>
      <c r="E431" s="55" t="s">
        <v>1031</v>
      </c>
      <c r="F431" s="55" t="s">
        <v>196</v>
      </c>
      <c r="G431" s="55" t="s">
        <v>557</v>
      </c>
      <c r="H431" s="50" t="s">
        <v>1032</v>
      </c>
    </row>
    <row r="432" spans="3:8" x14ac:dyDescent="0.2">
      <c r="C432" s="195">
        <v>44509</v>
      </c>
      <c r="D432" s="55">
        <v>280</v>
      </c>
      <c r="E432" s="55" t="s">
        <v>1033</v>
      </c>
      <c r="F432" s="55" t="s">
        <v>267</v>
      </c>
      <c r="G432" s="55" t="s">
        <v>268</v>
      </c>
      <c r="H432" s="50" t="s">
        <v>1034</v>
      </c>
    </row>
    <row r="433" spans="1:62" x14ac:dyDescent="0.2">
      <c r="C433" s="195">
        <v>44519</v>
      </c>
      <c r="D433" s="55">
        <v>280</v>
      </c>
      <c r="E433" s="55" t="s">
        <v>1035</v>
      </c>
      <c r="F433" s="55" t="s">
        <v>202</v>
      </c>
      <c r="G433" s="55" t="s">
        <v>203</v>
      </c>
      <c r="H433" s="50" t="s">
        <v>1036</v>
      </c>
    </row>
    <row r="434" spans="1:62" x14ac:dyDescent="0.2">
      <c r="C434" s="195">
        <v>44512</v>
      </c>
      <c r="D434" s="55">
        <v>260</v>
      </c>
      <c r="E434" s="55" t="s">
        <v>1037</v>
      </c>
      <c r="F434" s="55" t="s">
        <v>210</v>
      </c>
      <c r="G434" s="55" t="s">
        <v>496</v>
      </c>
      <c r="H434" s="50" t="s">
        <v>1038</v>
      </c>
    </row>
    <row r="435" spans="1:62" x14ac:dyDescent="0.2">
      <c r="C435" s="195">
        <v>44529</v>
      </c>
      <c r="D435" s="55">
        <v>280</v>
      </c>
      <c r="E435" s="55" t="s">
        <v>1039</v>
      </c>
      <c r="F435" s="55" t="s">
        <v>272</v>
      </c>
      <c r="G435" s="55" t="s">
        <v>1040</v>
      </c>
      <c r="H435" s="50" t="s">
        <v>1041</v>
      </c>
    </row>
    <row r="436" spans="1:62" x14ac:dyDescent="0.2">
      <c r="C436" s="195">
        <v>44510</v>
      </c>
      <c r="D436" s="55">
        <v>260</v>
      </c>
      <c r="E436" s="55" t="s">
        <v>1042</v>
      </c>
      <c r="F436" s="55" t="s">
        <v>196</v>
      </c>
      <c r="G436" s="55" t="s">
        <v>645</v>
      </c>
      <c r="H436" s="50" t="s">
        <v>1043</v>
      </c>
    </row>
    <row r="437" spans="1:62" x14ac:dyDescent="0.2">
      <c r="C437" s="195">
        <v>44517</v>
      </c>
      <c r="D437" s="55">
        <v>280</v>
      </c>
      <c r="E437" s="55" t="s">
        <v>1044</v>
      </c>
      <c r="F437" s="55" t="s">
        <v>196</v>
      </c>
      <c r="G437" s="55" t="s">
        <v>352</v>
      </c>
      <c r="H437" s="50" t="s">
        <v>1045</v>
      </c>
    </row>
    <row r="438" spans="1:62" x14ac:dyDescent="0.2">
      <c r="C438" s="195">
        <v>44510</v>
      </c>
      <c r="D438" s="55">
        <v>260</v>
      </c>
      <c r="E438" s="55" t="s">
        <v>1046</v>
      </c>
      <c r="F438" s="55" t="s">
        <v>263</v>
      </c>
      <c r="G438" s="55" t="s">
        <v>995</v>
      </c>
      <c r="H438" s="50" t="s">
        <v>224</v>
      </c>
    </row>
    <row r="439" spans="1:62" x14ac:dyDescent="0.2">
      <c r="A439" s="57">
        <v>1121</v>
      </c>
      <c r="B439" s="162" t="s">
        <v>836</v>
      </c>
      <c r="C439" s="195">
        <v>44510</v>
      </c>
      <c r="D439" s="55">
        <v>260</v>
      </c>
      <c r="E439" s="55" t="s">
        <v>1047</v>
      </c>
      <c r="F439" s="55" t="s">
        <v>202</v>
      </c>
      <c r="G439" s="55" t="s">
        <v>302</v>
      </c>
      <c r="H439" s="50" t="s">
        <v>1048</v>
      </c>
      <c r="I439" s="46" t="s">
        <v>839</v>
      </c>
      <c r="J439" s="52">
        <v>2</v>
      </c>
      <c r="K439" s="52">
        <v>1</v>
      </c>
      <c r="O439" s="1">
        <v>1</v>
      </c>
      <c r="S439" s="1">
        <v>1</v>
      </c>
      <c r="W439" s="1">
        <v>2</v>
      </c>
      <c r="AA439" s="1">
        <v>2</v>
      </c>
      <c r="AG439">
        <v>2</v>
      </c>
      <c r="AM439">
        <v>4</v>
      </c>
      <c r="AS439">
        <v>2</v>
      </c>
      <c r="AT439">
        <v>2</v>
      </c>
      <c r="AU439">
        <v>2</v>
      </c>
      <c r="AZ439">
        <v>1</v>
      </c>
      <c r="BA439">
        <v>1</v>
      </c>
      <c r="BB439">
        <v>1</v>
      </c>
      <c r="BC439">
        <v>1</v>
      </c>
      <c r="BD439">
        <v>1</v>
      </c>
      <c r="BE439">
        <v>1</v>
      </c>
      <c r="BJ439">
        <v>1</v>
      </c>
    </row>
    <row r="440" spans="1:62" x14ac:dyDescent="0.2">
      <c r="C440" s="195">
        <v>44516</v>
      </c>
      <c r="D440" s="55">
        <v>260</v>
      </c>
      <c r="E440" s="55" t="s">
        <v>1049</v>
      </c>
      <c r="F440" s="55" t="s">
        <v>210</v>
      </c>
      <c r="G440" s="55" t="s">
        <v>306</v>
      </c>
      <c r="H440" s="50" t="s">
        <v>1050</v>
      </c>
    </row>
    <row r="441" spans="1:62" x14ac:dyDescent="0.2">
      <c r="C441" s="195">
        <v>44510</v>
      </c>
      <c r="D441" s="55">
        <v>260</v>
      </c>
      <c r="E441" s="55" t="s">
        <v>1051</v>
      </c>
      <c r="F441" s="55" t="s">
        <v>202</v>
      </c>
      <c r="G441" s="55" t="s">
        <v>302</v>
      </c>
      <c r="H441" s="50" t="s">
        <v>224</v>
      </c>
    </row>
    <row r="442" spans="1:62" x14ac:dyDescent="0.2">
      <c r="C442" s="195">
        <v>44510</v>
      </c>
      <c r="D442" s="55">
        <v>260</v>
      </c>
      <c r="E442" s="55" t="s">
        <v>1052</v>
      </c>
      <c r="F442" s="55" t="s">
        <v>272</v>
      </c>
      <c r="G442" s="55" t="s">
        <v>366</v>
      </c>
      <c r="H442" s="50" t="s">
        <v>1053</v>
      </c>
    </row>
    <row r="443" spans="1:62" x14ac:dyDescent="0.2">
      <c r="C443" s="195">
        <v>44510</v>
      </c>
      <c r="D443" s="55">
        <v>280</v>
      </c>
      <c r="E443" s="55" t="s">
        <v>1054</v>
      </c>
      <c r="F443" s="55" t="s">
        <v>192</v>
      </c>
      <c r="G443" s="55" t="s">
        <v>640</v>
      </c>
      <c r="H443" s="50" t="s">
        <v>1055</v>
      </c>
    </row>
    <row r="444" spans="1:62" x14ac:dyDescent="0.2">
      <c r="C444" s="195">
        <v>44510</v>
      </c>
      <c r="D444" s="55">
        <v>260</v>
      </c>
      <c r="E444" s="55" t="s">
        <v>1056</v>
      </c>
      <c r="F444" s="55" t="s">
        <v>210</v>
      </c>
      <c r="G444" s="55" t="s">
        <v>496</v>
      </c>
      <c r="H444" s="50" t="s">
        <v>1057</v>
      </c>
    </row>
    <row r="445" spans="1:62" x14ac:dyDescent="0.2">
      <c r="C445" s="195">
        <v>44522</v>
      </c>
      <c r="D445" s="55">
        <v>280</v>
      </c>
      <c r="E445" s="55" t="s">
        <v>1058</v>
      </c>
      <c r="F445" s="55" t="s">
        <v>206</v>
      </c>
      <c r="G445" s="55" t="s">
        <v>568</v>
      </c>
      <c r="H445" s="50" t="s">
        <v>1059</v>
      </c>
    </row>
    <row r="446" spans="1:62" x14ac:dyDescent="0.2">
      <c r="C446" s="195">
        <v>44510</v>
      </c>
      <c r="D446" s="55">
        <v>280</v>
      </c>
      <c r="E446" s="55" t="s">
        <v>1060</v>
      </c>
      <c r="F446" s="55" t="s">
        <v>291</v>
      </c>
      <c r="G446" s="55" t="s">
        <v>607</v>
      </c>
      <c r="H446" s="50" t="s">
        <v>1061</v>
      </c>
    </row>
    <row r="447" spans="1:62" x14ac:dyDescent="0.2">
      <c r="C447" s="195">
        <v>44512</v>
      </c>
      <c r="D447" s="55">
        <v>260</v>
      </c>
      <c r="E447" s="55" t="s">
        <v>1062</v>
      </c>
      <c r="F447" s="55" t="s">
        <v>210</v>
      </c>
      <c r="G447" s="55" t="s">
        <v>496</v>
      </c>
    </row>
    <row r="448" spans="1:62" x14ac:dyDescent="0.2">
      <c r="C448" s="195">
        <v>44512</v>
      </c>
      <c r="D448" s="55">
        <v>280</v>
      </c>
      <c r="E448" s="55" t="s">
        <v>1063</v>
      </c>
      <c r="F448" s="55" t="s">
        <v>267</v>
      </c>
      <c r="G448" s="55" t="s">
        <v>331</v>
      </c>
      <c r="H448" s="50" t="s">
        <v>1064</v>
      </c>
    </row>
    <row r="449" spans="3:8" x14ac:dyDescent="0.2">
      <c r="C449" s="195">
        <v>44515</v>
      </c>
      <c r="D449" s="55">
        <v>280</v>
      </c>
      <c r="E449" s="55" t="s">
        <v>1065</v>
      </c>
      <c r="F449" s="55" t="s">
        <v>210</v>
      </c>
      <c r="G449" s="55" t="s">
        <v>496</v>
      </c>
      <c r="H449" s="50" t="s">
        <v>224</v>
      </c>
    </row>
    <row r="450" spans="3:8" x14ac:dyDescent="0.2">
      <c r="C450" s="195">
        <v>44515</v>
      </c>
      <c r="D450" s="55">
        <v>280</v>
      </c>
      <c r="E450" s="55" t="s">
        <v>1066</v>
      </c>
      <c r="F450" s="55" t="s">
        <v>263</v>
      </c>
      <c r="G450" s="55" t="s">
        <v>806</v>
      </c>
      <c r="H450" s="50" t="s">
        <v>1067</v>
      </c>
    </row>
    <row r="451" spans="3:8" x14ac:dyDescent="0.2">
      <c r="C451" s="195">
        <v>44522</v>
      </c>
      <c r="D451" s="55">
        <v>280</v>
      </c>
      <c r="E451" s="55" t="s">
        <v>1068</v>
      </c>
      <c r="F451" s="55" t="s">
        <v>244</v>
      </c>
      <c r="G451" s="55" t="s">
        <v>294</v>
      </c>
      <c r="H451" s="50" t="s">
        <v>1069</v>
      </c>
    </row>
    <row r="452" spans="3:8" x14ac:dyDescent="0.2">
      <c r="C452" s="195">
        <v>44515</v>
      </c>
      <c r="D452" s="55">
        <v>280</v>
      </c>
      <c r="E452" s="55" t="s">
        <v>1070</v>
      </c>
      <c r="F452" s="55" t="s">
        <v>231</v>
      </c>
      <c r="G452" s="55" t="s">
        <v>371</v>
      </c>
      <c r="H452" s="50" t="s">
        <v>1071</v>
      </c>
    </row>
    <row r="453" spans="3:8" x14ac:dyDescent="0.2">
      <c r="C453" s="195">
        <v>44517</v>
      </c>
      <c r="D453" s="55">
        <v>280</v>
      </c>
      <c r="E453" s="55" t="s">
        <v>1072</v>
      </c>
      <c r="F453" s="55" t="s">
        <v>231</v>
      </c>
      <c r="G453" s="55" t="s">
        <v>232</v>
      </c>
      <c r="H453" s="50" t="s">
        <v>1073</v>
      </c>
    </row>
    <row r="454" spans="3:8" x14ac:dyDescent="0.2">
      <c r="C454" s="195">
        <v>44515</v>
      </c>
      <c r="D454" s="55">
        <v>260</v>
      </c>
      <c r="E454" s="55" t="s">
        <v>1074</v>
      </c>
      <c r="F454" s="55" t="s">
        <v>202</v>
      </c>
      <c r="G454" s="55" t="s">
        <v>302</v>
      </c>
      <c r="H454" s="50" t="s">
        <v>1075</v>
      </c>
    </row>
    <row r="455" spans="3:8" x14ac:dyDescent="0.2">
      <c r="C455" s="195">
        <v>44530</v>
      </c>
      <c r="D455" s="55">
        <v>260</v>
      </c>
      <c r="E455" s="55" t="s">
        <v>1076</v>
      </c>
      <c r="F455" s="55" t="s">
        <v>192</v>
      </c>
      <c r="G455" s="55" t="s">
        <v>401</v>
      </c>
      <c r="H455" s="50" t="s">
        <v>1077</v>
      </c>
    </row>
    <row r="456" spans="3:8" x14ac:dyDescent="0.2">
      <c r="C456" s="195">
        <v>44515</v>
      </c>
      <c r="D456" s="55">
        <v>260</v>
      </c>
      <c r="E456" s="55" t="s">
        <v>1078</v>
      </c>
      <c r="F456" s="55" t="s">
        <v>196</v>
      </c>
      <c r="G456" s="55" t="s">
        <v>645</v>
      </c>
      <c r="H456" s="50" t="s">
        <v>1079</v>
      </c>
    </row>
    <row r="457" spans="3:8" x14ac:dyDescent="0.2">
      <c r="C457" s="195">
        <v>44515</v>
      </c>
      <c r="D457" s="55">
        <v>260</v>
      </c>
      <c r="E457" s="55" t="s">
        <v>1080</v>
      </c>
      <c r="F457" s="55" t="s">
        <v>263</v>
      </c>
      <c r="G457" s="55" t="s">
        <v>995</v>
      </c>
      <c r="H457" s="50" t="s">
        <v>1081</v>
      </c>
    </row>
    <row r="458" spans="3:8" x14ac:dyDescent="0.2">
      <c r="C458" s="195">
        <v>44518</v>
      </c>
      <c r="D458" s="55">
        <v>280</v>
      </c>
      <c r="E458" s="55" t="s">
        <v>1082</v>
      </c>
      <c r="F458" s="55" t="s">
        <v>390</v>
      </c>
      <c r="G458" s="55" t="s">
        <v>391</v>
      </c>
      <c r="H458" s="50" t="s">
        <v>1083</v>
      </c>
    </row>
    <row r="459" spans="3:8" x14ac:dyDescent="0.2">
      <c r="C459" s="195">
        <v>44522</v>
      </c>
      <c r="D459" s="55">
        <v>280</v>
      </c>
      <c r="E459" s="55" t="s">
        <v>1084</v>
      </c>
      <c r="F459" s="55" t="s">
        <v>244</v>
      </c>
      <c r="G459" s="55" t="s">
        <v>1085</v>
      </c>
      <c r="H459" s="50" t="s">
        <v>1086</v>
      </c>
    </row>
    <row r="460" spans="3:8" x14ac:dyDescent="0.2">
      <c r="C460" s="195">
        <v>44518</v>
      </c>
      <c r="D460" s="55">
        <v>280</v>
      </c>
      <c r="E460" s="55" t="s">
        <v>1087</v>
      </c>
      <c r="F460" s="55" t="s">
        <v>390</v>
      </c>
      <c r="G460" s="55" t="s">
        <v>391</v>
      </c>
      <c r="H460" s="50" t="s">
        <v>1088</v>
      </c>
    </row>
    <row r="461" spans="3:8" x14ac:dyDescent="0.2">
      <c r="C461" s="195">
        <v>44516</v>
      </c>
      <c r="D461" s="55">
        <v>260</v>
      </c>
      <c r="E461" s="55" t="s">
        <v>1089</v>
      </c>
      <c r="F461" s="55" t="s">
        <v>272</v>
      </c>
      <c r="G461" s="55" t="s">
        <v>533</v>
      </c>
      <c r="H461" s="50" t="s">
        <v>1090</v>
      </c>
    </row>
    <row r="462" spans="3:8" x14ac:dyDescent="0.2">
      <c r="C462" s="195">
        <v>44530</v>
      </c>
      <c r="D462" s="55">
        <v>260</v>
      </c>
      <c r="E462" s="55" t="s">
        <v>1091</v>
      </c>
      <c r="F462" s="55" t="s">
        <v>192</v>
      </c>
      <c r="G462" s="55" t="s">
        <v>401</v>
      </c>
      <c r="H462" s="50" t="s">
        <v>1092</v>
      </c>
    </row>
    <row r="463" spans="3:8" x14ac:dyDescent="0.2">
      <c r="C463" s="195">
        <v>44516</v>
      </c>
      <c r="D463" s="55">
        <v>260</v>
      </c>
      <c r="E463" s="55" t="s">
        <v>1093</v>
      </c>
      <c r="F463" s="55" t="s">
        <v>231</v>
      </c>
      <c r="G463" s="55" t="s">
        <v>435</v>
      </c>
      <c r="H463" s="50" t="s">
        <v>224</v>
      </c>
    </row>
    <row r="464" spans="3:8" x14ac:dyDescent="0.2">
      <c r="C464" s="195">
        <v>44516</v>
      </c>
      <c r="D464" s="55">
        <v>260</v>
      </c>
      <c r="E464" s="55" t="s">
        <v>1094</v>
      </c>
      <c r="F464" s="55" t="s">
        <v>210</v>
      </c>
      <c r="G464" s="55" t="s">
        <v>1095</v>
      </c>
      <c r="H464" s="50" t="s">
        <v>1096</v>
      </c>
    </row>
    <row r="465" spans="1:62" x14ac:dyDescent="0.2">
      <c r="A465" s="57">
        <v>1121</v>
      </c>
      <c r="B465" t="s">
        <v>836</v>
      </c>
      <c r="C465" s="195">
        <v>44516</v>
      </c>
      <c r="D465" s="55">
        <v>280</v>
      </c>
      <c r="E465" s="55" t="s">
        <v>1097</v>
      </c>
      <c r="F465" s="55" t="s">
        <v>231</v>
      </c>
      <c r="G465" s="55" t="s">
        <v>1098</v>
      </c>
      <c r="I465" s="46" t="s">
        <v>837</v>
      </c>
    </row>
    <row r="466" spans="1:62" x14ac:dyDescent="0.2">
      <c r="C466" s="195">
        <v>44516</v>
      </c>
      <c r="D466" s="55">
        <v>280</v>
      </c>
      <c r="E466" s="55" t="s">
        <v>1099</v>
      </c>
      <c r="F466" s="55" t="s">
        <v>231</v>
      </c>
      <c r="G466" s="55" t="s">
        <v>1098</v>
      </c>
      <c r="H466" s="50" t="s">
        <v>1100</v>
      </c>
    </row>
    <row r="467" spans="1:62" x14ac:dyDescent="0.2">
      <c r="C467" s="195">
        <v>44516</v>
      </c>
      <c r="D467" s="55">
        <v>280</v>
      </c>
      <c r="E467" s="55" t="s">
        <v>1101</v>
      </c>
      <c r="F467" s="55" t="s">
        <v>210</v>
      </c>
      <c r="G467" s="55" t="s">
        <v>1095</v>
      </c>
      <c r="H467" s="50" t="s">
        <v>1102</v>
      </c>
    </row>
    <row r="468" spans="1:62" x14ac:dyDescent="0.2">
      <c r="C468" s="195">
        <v>44517</v>
      </c>
      <c r="D468" s="55">
        <v>280</v>
      </c>
      <c r="E468" s="55" t="s">
        <v>1103</v>
      </c>
      <c r="F468" s="55" t="s">
        <v>196</v>
      </c>
      <c r="G468" s="55" t="s">
        <v>197</v>
      </c>
      <c r="H468" s="50" t="s">
        <v>1104</v>
      </c>
    </row>
    <row r="469" spans="1:62" x14ac:dyDescent="0.2">
      <c r="A469" s="57">
        <v>1121</v>
      </c>
      <c r="B469" t="s">
        <v>836</v>
      </c>
      <c r="C469" s="195">
        <v>44516</v>
      </c>
      <c r="D469" s="55">
        <v>280</v>
      </c>
      <c r="E469" s="55" t="s">
        <v>1105</v>
      </c>
      <c r="F469" s="55" t="s">
        <v>192</v>
      </c>
      <c r="G469" s="55" t="s">
        <v>487</v>
      </c>
      <c r="H469" s="50" t="s">
        <v>224</v>
      </c>
      <c r="I469" s="46" t="s">
        <v>837</v>
      </c>
    </row>
    <row r="470" spans="1:62" x14ac:dyDescent="0.2">
      <c r="C470" s="195">
        <v>44522</v>
      </c>
      <c r="D470" s="55">
        <v>260</v>
      </c>
      <c r="E470" s="55" t="s">
        <v>1106</v>
      </c>
      <c r="F470" s="55" t="s">
        <v>196</v>
      </c>
      <c r="G470" s="55" t="s">
        <v>361</v>
      </c>
      <c r="H470" s="50" t="s">
        <v>1107</v>
      </c>
    </row>
    <row r="471" spans="1:62" x14ac:dyDescent="0.2">
      <c r="A471" s="57">
        <v>1121</v>
      </c>
      <c r="B471" s="162" t="s">
        <v>836</v>
      </c>
      <c r="C471" s="195">
        <v>44516</v>
      </c>
      <c r="D471" s="55">
        <v>260</v>
      </c>
      <c r="E471" s="55" t="s">
        <v>1108</v>
      </c>
      <c r="F471" s="55" t="s">
        <v>267</v>
      </c>
      <c r="G471" s="55" t="s">
        <v>1109</v>
      </c>
      <c r="I471" s="46" t="s">
        <v>839</v>
      </c>
      <c r="J471" s="52">
        <v>1</v>
      </c>
      <c r="K471" s="52">
        <v>1</v>
      </c>
      <c r="O471" s="1">
        <v>1</v>
      </c>
      <c r="S471" s="1">
        <v>1</v>
      </c>
      <c r="W471" s="1">
        <v>1</v>
      </c>
      <c r="AA471" s="1">
        <v>1</v>
      </c>
      <c r="AG471">
        <v>1</v>
      </c>
      <c r="AM471">
        <v>4</v>
      </c>
      <c r="AS471">
        <v>4</v>
      </c>
      <c r="AT471">
        <v>1</v>
      </c>
      <c r="AU471">
        <v>1</v>
      </c>
      <c r="AZ471">
        <v>1</v>
      </c>
      <c r="BA471">
        <v>1</v>
      </c>
      <c r="BB471">
        <v>1</v>
      </c>
      <c r="BC471">
        <v>1</v>
      </c>
      <c r="BD471">
        <v>1</v>
      </c>
      <c r="BE471">
        <v>1</v>
      </c>
      <c r="BJ471">
        <v>1</v>
      </c>
    </row>
    <row r="472" spans="1:62" x14ac:dyDescent="0.2">
      <c r="C472" s="195">
        <v>44517</v>
      </c>
      <c r="D472" s="55">
        <v>280</v>
      </c>
      <c r="E472" s="55" t="s">
        <v>1110</v>
      </c>
      <c r="F472" s="55" t="s">
        <v>192</v>
      </c>
      <c r="G472" s="55" t="s">
        <v>401</v>
      </c>
      <c r="H472" s="50" t="s">
        <v>1111</v>
      </c>
    </row>
    <row r="473" spans="1:62" x14ac:dyDescent="0.2">
      <c r="C473" s="195">
        <v>44517</v>
      </c>
      <c r="D473" s="55">
        <v>260</v>
      </c>
      <c r="E473" s="55" t="s">
        <v>1112</v>
      </c>
      <c r="F473" s="55" t="s">
        <v>263</v>
      </c>
      <c r="G473" s="55" t="s">
        <v>1113</v>
      </c>
      <c r="H473" s="50" t="s">
        <v>224</v>
      </c>
    </row>
    <row r="474" spans="1:62" x14ac:dyDescent="0.2">
      <c r="C474" s="195">
        <v>44517</v>
      </c>
      <c r="D474" s="55">
        <v>280</v>
      </c>
      <c r="E474" s="55" t="s">
        <v>1114</v>
      </c>
      <c r="F474" s="55" t="s">
        <v>210</v>
      </c>
      <c r="G474" s="55" t="s">
        <v>306</v>
      </c>
      <c r="H474" s="50" t="s">
        <v>1115</v>
      </c>
    </row>
    <row r="475" spans="1:62" x14ac:dyDescent="0.2">
      <c r="C475" s="195">
        <v>44517</v>
      </c>
      <c r="D475" s="55">
        <v>260</v>
      </c>
      <c r="E475" s="55" t="s">
        <v>1116</v>
      </c>
      <c r="F475" s="55" t="s">
        <v>272</v>
      </c>
      <c r="G475" s="55" t="s">
        <v>366</v>
      </c>
      <c r="H475" s="50" t="s">
        <v>1117</v>
      </c>
    </row>
    <row r="476" spans="1:62" x14ac:dyDescent="0.2">
      <c r="C476" s="195">
        <v>44530</v>
      </c>
      <c r="D476" s="55">
        <v>280</v>
      </c>
      <c r="E476" s="55" t="s">
        <v>1118</v>
      </c>
      <c r="F476" s="55" t="s">
        <v>267</v>
      </c>
      <c r="G476" s="55" t="s">
        <v>708</v>
      </c>
      <c r="H476" s="50" t="s">
        <v>1119</v>
      </c>
    </row>
    <row r="477" spans="1:62" x14ac:dyDescent="0.2">
      <c r="C477" s="195">
        <v>44517</v>
      </c>
      <c r="D477" s="55">
        <v>280</v>
      </c>
      <c r="E477" s="55" t="s">
        <v>1120</v>
      </c>
      <c r="F477" s="55" t="s">
        <v>291</v>
      </c>
      <c r="G477" s="55" t="s">
        <v>643</v>
      </c>
      <c r="H477" s="50" t="s">
        <v>1121</v>
      </c>
    </row>
    <row r="478" spans="1:62" x14ac:dyDescent="0.2">
      <c r="A478" s="57">
        <v>1121</v>
      </c>
      <c r="B478" t="s">
        <v>836</v>
      </c>
      <c r="C478" s="195">
        <v>44517</v>
      </c>
      <c r="D478" s="55">
        <v>280</v>
      </c>
      <c r="E478" s="55" t="s">
        <v>1122</v>
      </c>
      <c r="F478" s="55" t="s">
        <v>231</v>
      </c>
      <c r="G478" s="55" t="s">
        <v>1098</v>
      </c>
      <c r="H478" s="50" t="s">
        <v>224</v>
      </c>
      <c r="I478" s="46" t="s">
        <v>837</v>
      </c>
    </row>
    <row r="479" spans="1:62" x14ac:dyDescent="0.2">
      <c r="C479" s="195">
        <v>44517</v>
      </c>
      <c r="D479" s="55">
        <v>280</v>
      </c>
      <c r="E479" s="55" t="s">
        <v>1123</v>
      </c>
      <c r="F479" s="55" t="s">
        <v>231</v>
      </c>
      <c r="G479" s="55" t="s">
        <v>435</v>
      </c>
      <c r="H479" s="50" t="s">
        <v>1124</v>
      </c>
    </row>
    <row r="480" spans="1:62" x14ac:dyDescent="0.2">
      <c r="C480" s="195">
        <v>44517</v>
      </c>
      <c r="D480" s="55">
        <v>280</v>
      </c>
      <c r="E480" s="55" t="s">
        <v>1125</v>
      </c>
      <c r="F480" s="55" t="s">
        <v>267</v>
      </c>
      <c r="G480" s="55" t="s">
        <v>442</v>
      </c>
      <c r="H480" s="50" t="s">
        <v>1126</v>
      </c>
    </row>
    <row r="481" spans="1:62" x14ac:dyDescent="0.2">
      <c r="C481" s="195">
        <v>44517</v>
      </c>
      <c r="D481" s="55">
        <v>260</v>
      </c>
      <c r="E481" s="55" t="s">
        <v>1127</v>
      </c>
      <c r="F481" s="55" t="s">
        <v>196</v>
      </c>
      <c r="G481" s="55" t="s">
        <v>464</v>
      </c>
      <c r="H481" s="50" t="s">
        <v>1128</v>
      </c>
    </row>
    <row r="482" spans="1:62" x14ac:dyDescent="0.2">
      <c r="C482" s="195">
        <v>44518</v>
      </c>
      <c r="D482" s="55">
        <v>280</v>
      </c>
      <c r="E482" s="55" t="s">
        <v>1129</v>
      </c>
      <c r="F482" s="55" t="s">
        <v>244</v>
      </c>
      <c r="G482" s="55" t="s">
        <v>767</v>
      </c>
      <c r="H482" s="50" t="s">
        <v>1130</v>
      </c>
    </row>
    <row r="483" spans="1:62" x14ac:dyDescent="0.2">
      <c r="A483" s="57">
        <v>1121</v>
      </c>
      <c r="B483" s="162" t="s">
        <v>836</v>
      </c>
      <c r="C483" s="195">
        <v>44518</v>
      </c>
      <c r="D483" s="55">
        <v>260</v>
      </c>
      <c r="E483" s="55" t="s">
        <v>1131</v>
      </c>
      <c r="F483" s="55" t="s">
        <v>192</v>
      </c>
      <c r="G483" s="55" t="s">
        <v>258</v>
      </c>
      <c r="H483" s="50" t="s">
        <v>1132</v>
      </c>
      <c r="I483" s="46" t="s">
        <v>839</v>
      </c>
      <c r="J483" s="52">
        <v>1</v>
      </c>
      <c r="K483" s="52">
        <v>1</v>
      </c>
      <c r="O483" s="1">
        <v>1</v>
      </c>
      <c r="S483" s="1">
        <v>1</v>
      </c>
      <c r="W483" s="1">
        <v>1</v>
      </c>
      <c r="AA483" s="1">
        <v>1</v>
      </c>
      <c r="AG483">
        <v>1</v>
      </c>
      <c r="AM483">
        <v>1</v>
      </c>
      <c r="AN483">
        <v>1</v>
      </c>
      <c r="AO483">
        <v>1</v>
      </c>
      <c r="AP483">
        <v>1</v>
      </c>
      <c r="AQ483">
        <v>3</v>
      </c>
      <c r="AR483">
        <v>2</v>
      </c>
      <c r="AS483">
        <v>3</v>
      </c>
      <c r="AT483">
        <v>1</v>
      </c>
      <c r="AU483">
        <v>1</v>
      </c>
      <c r="AZ483">
        <v>1</v>
      </c>
      <c r="BA483">
        <v>1</v>
      </c>
      <c r="BB483">
        <v>1</v>
      </c>
      <c r="BC483">
        <v>1</v>
      </c>
      <c r="BD483">
        <v>1</v>
      </c>
      <c r="BE483">
        <v>1</v>
      </c>
      <c r="BJ483">
        <v>1</v>
      </c>
    </row>
    <row r="484" spans="1:62" x14ac:dyDescent="0.2">
      <c r="C484" s="195">
        <v>44522</v>
      </c>
      <c r="D484" s="55">
        <v>280</v>
      </c>
      <c r="E484" s="55" t="s">
        <v>1133</v>
      </c>
      <c r="F484" s="55" t="s">
        <v>210</v>
      </c>
      <c r="G484" s="55" t="s">
        <v>383</v>
      </c>
      <c r="H484" s="50" t="s">
        <v>224</v>
      </c>
    </row>
    <row r="485" spans="1:62" x14ac:dyDescent="0.2">
      <c r="C485" s="195">
        <v>44522</v>
      </c>
      <c r="D485" s="55">
        <v>280</v>
      </c>
      <c r="E485" s="55" t="s">
        <v>1134</v>
      </c>
      <c r="F485" s="55" t="s">
        <v>210</v>
      </c>
      <c r="G485" s="55" t="s">
        <v>383</v>
      </c>
      <c r="H485" s="50" t="s">
        <v>224</v>
      </c>
    </row>
    <row r="486" spans="1:62" x14ac:dyDescent="0.2">
      <c r="C486" s="195">
        <v>44530</v>
      </c>
      <c r="D486" s="55">
        <v>260</v>
      </c>
      <c r="E486" s="55" t="s">
        <v>1135</v>
      </c>
      <c r="F486" s="55" t="s">
        <v>210</v>
      </c>
      <c r="G486" s="55" t="s">
        <v>211</v>
      </c>
      <c r="H486" s="50" t="s">
        <v>1136</v>
      </c>
    </row>
    <row r="487" spans="1:62" x14ac:dyDescent="0.2">
      <c r="C487" s="195">
        <v>44519</v>
      </c>
      <c r="D487" s="55">
        <v>260</v>
      </c>
      <c r="E487" s="55" t="s">
        <v>1137</v>
      </c>
      <c r="F487" s="55" t="s">
        <v>231</v>
      </c>
      <c r="G487" s="55" t="s">
        <v>232</v>
      </c>
      <c r="H487" s="50" t="s">
        <v>1138</v>
      </c>
    </row>
    <row r="488" spans="1:62" x14ac:dyDescent="0.2">
      <c r="C488" s="195">
        <v>44522</v>
      </c>
      <c r="D488" s="55">
        <v>260</v>
      </c>
      <c r="E488" s="55" t="s">
        <v>1139</v>
      </c>
      <c r="F488" s="55" t="s">
        <v>244</v>
      </c>
      <c r="G488" s="55" t="s">
        <v>1085</v>
      </c>
      <c r="H488" s="50" t="s">
        <v>1140</v>
      </c>
    </row>
    <row r="489" spans="1:62" x14ac:dyDescent="0.2">
      <c r="C489" s="195">
        <v>44523</v>
      </c>
      <c r="D489" s="55">
        <v>260</v>
      </c>
      <c r="E489" s="55" t="s">
        <v>1141</v>
      </c>
      <c r="F489" s="55" t="s">
        <v>390</v>
      </c>
      <c r="G489" s="55" t="s">
        <v>870</v>
      </c>
      <c r="H489" s="50" t="s">
        <v>1142</v>
      </c>
    </row>
    <row r="490" spans="1:62" x14ac:dyDescent="0.2">
      <c r="C490" s="195">
        <v>44529</v>
      </c>
      <c r="D490" s="55">
        <v>280</v>
      </c>
      <c r="E490" s="55" t="s">
        <v>1143</v>
      </c>
      <c r="F490" s="55" t="s">
        <v>206</v>
      </c>
      <c r="G490" s="55" t="s">
        <v>548</v>
      </c>
      <c r="H490" s="50" t="s">
        <v>1144</v>
      </c>
    </row>
    <row r="491" spans="1:62" x14ac:dyDescent="0.2">
      <c r="C491" s="195">
        <v>44519</v>
      </c>
      <c r="D491" s="55">
        <v>260</v>
      </c>
      <c r="E491" s="55" t="s">
        <v>1145</v>
      </c>
      <c r="F491" s="55" t="s">
        <v>202</v>
      </c>
      <c r="G491" s="55" t="s">
        <v>1146</v>
      </c>
      <c r="H491" s="50" t="s">
        <v>1147</v>
      </c>
    </row>
    <row r="492" spans="1:62" x14ac:dyDescent="0.2">
      <c r="C492" s="195">
        <v>44519</v>
      </c>
      <c r="D492" s="55">
        <v>260</v>
      </c>
      <c r="E492" s="55" t="s">
        <v>1148</v>
      </c>
      <c r="F492" s="55" t="s">
        <v>210</v>
      </c>
      <c r="G492" s="55" t="s">
        <v>496</v>
      </c>
      <c r="H492" s="50" t="s">
        <v>1149</v>
      </c>
    </row>
    <row r="493" spans="1:62" x14ac:dyDescent="0.2">
      <c r="A493" s="57">
        <v>1121</v>
      </c>
      <c r="B493" t="s">
        <v>836</v>
      </c>
      <c r="C493" s="195">
        <v>44522</v>
      </c>
      <c r="D493" s="55">
        <v>280</v>
      </c>
      <c r="E493" s="55" t="s">
        <v>1150</v>
      </c>
      <c r="F493" s="55" t="s">
        <v>231</v>
      </c>
      <c r="G493" s="55" t="s">
        <v>232</v>
      </c>
      <c r="H493" s="50" t="s">
        <v>1151</v>
      </c>
      <c r="I493" s="46" t="s">
        <v>839</v>
      </c>
      <c r="J493" s="52">
        <v>1</v>
      </c>
      <c r="K493" s="52">
        <v>1</v>
      </c>
      <c r="O493" s="1">
        <v>1</v>
      </c>
      <c r="S493" s="1">
        <v>1</v>
      </c>
      <c r="W493" s="1">
        <v>1</v>
      </c>
      <c r="AA493" s="1">
        <v>4</v>
      </c>
      <c r="AB493" s="1">
        <v>1</v>
      </c>
      <c r="AC493" s="59">
        <v>3</v>
      </c>
      <c r="AD493" s="1">
        <v>3</v>
      </c>
      <c r="AE493" s="1">
        <v>3</v>
      </c>
      <c r="AF493" s="1">
        <v>3</v>
      </c>
      <c r="AG493">
        <v>4</v>
      </c>
      <c r="AH493">
        <v>3</v>
      </c>
      <c r="AI493">
        <v>3</v>
      </c>
      <c r="AJ493">
        <v>3</v>
      </c>
      <c r="AK493">
        <v>3</v>
      </c>
      <c r="AL493">
        <v>3</v>
      </c>
      <c r="AM493">
        <v>1</v>
      </c>
      <c r="AN493">
        <v>1</v>
      </c>
      <c r="AO493">
        <v>1</v>
      </c>
      <c r="AP493">
        <v>3</v>
      </c>
      <c r="AQ493">
        <v>3</v>
      </c>
      <c r="AR493">
        <v>2</v>
      </c>
      <c r="AS493">
        <v>4</v>
      </c>
      <c r="AT493">
        <v>1</v>
      </c>
      <c r="AU493">
        <v>1</v>
      </c>
      <c r="AZ493">
        <v>1</v>
      </c>
      <c r="BA493">
        <v>1</v>
      </c>
      <c r="BB493">
        <v>1</v>
      </c>
      <c r="BC493">
        <v>1</v>
      </c>
      <c r="BD493">
        <v>1</v>
      </c>
      <c r="BE493">
        <v>1</v>
      </c>
      <c r="BJ493">
        <v>1</v>
      </c>
    </row>
    <row r="494" spans="1:62" x14ac:dyDescent="0.2">
      <c r="C494" s="195">
        <v>44519</v>
      </c>
      <c r="D494" s="55">
        <v>280</v>
      </c>
      <c r="E494" s="55" t="s">
        <v>1152</v>
      </c>
      <c r="F494" s="55" t="s">
        <v>231</v>
      </c>
      <c r="G494" s="55" t="s">
        <v>387</v>
      </c>
      <c r="H494" s="50" t="s">
        <v>1153</v>
      </c>
    </row>
    <row r="495" spans="1:62" x14ac:dyDescent="0.2">
      <c r="C495" s="195">
        <v>44519</v>
      </c>
      <c r="D495" s="55">
        <v>260</v>
      </c>
      <c r="E495" s="55" t="s">
        <v>1154</v>
      </c>
      <c r="F495" s="55" t="s">
        <v>291</v>
      </c>
      <c r="G495" s="55" t="s">
        <v>607</v>
      </c>
      <c r="H495" s="50" t="s">
        <v>1155</v>
      </c>
    </row>
    <row r="496" spans="1:62" x14ac:dyDescent="0.2">
      <c r="C496" s="195">
        <v>44523</v>
      </c>
      <c r="D496" s="55">
        <v>280</v>
      </c>
      <c r="E496" s="55" t="s">
        <v>1156</v>
      </c>
      <c r="F496" s="55" t="s">
        <v>244</v>
      </c>
      <c r="G496" s="55" t="s">
        <v>696</v>
      </c>
      <c r="H496" s="50" t="s">
        <v>1157</v>
      </c>
    </row>
    <row r="497" spans="1:62" x14ac:dyDescent="0.2">
      <c r="C497" s="195">
        <v>44529</v>
      </c>
      <c r="D497" s="55">
        <v>280</v>
      </c>
      <c r="E497" s="55" t="s">
        <v>1158</v>
      </c>
      <c r="F497" s="55" t="s">
        <v>390</v>
      </c>
      <c r="G497" s="55" t="s">
        <v>590</v>
      </c>
      <c r="H497" s="50" t="s">
        <v>224</v>
      </c>
    </row>
    <row r="498" spans="1:62" x14ac:dyDescent="0.2">
      <c r="C498" s="195">
        <v>44519</v>
      </c>
      <c r="D498" s="55">
        <v>260</v>
      </c>
      <c r="E498" s="55" t="s">
        <v>1159</v>
      </c>
      <c r="F498" s="55" t="s">
        <v>390</v>
      </c>
      <c r="G498" s="55" t="s">
        <v>671</v>
      </c>
      <c r="H498" s="50" t="s">
        <v>1160</v>
      </c>
    </row>
    <row r="499" spans="1:62" x14ac:dyDescent="0.2">
      <c r="C499" s="195">
        <v>44522</v>
      </c>
      <c r="D499" s="55">
        <v>280</v>
      </c>
      <c r="E499" s="55" t="s">
        <v>1161</v>
      </c>
      <c r="F499" s="55" t="s">
        <v>272</v>
      </c>
      <c r="G499" s="55" t="s">
        <v>273</v>
      </c>
      <c r="H499" s="50" t="s">
        <v>1162</v>
      </c>
    </row>
    <row r="500" spans="1:62" x14ac:dyDescent="0.2">
      <c r="C500" s="195">
        <v>44522</v>
      </c>
      <c r="D500" s="55">
        <v>260</v>
      </c>
      <c r="E500" s="55" t="s">
        <v>1163</v>
      </c>
      <c r="F500" s="55" t="s">
        <v>267</v>
      </c>
      <c r="G500" s="55" t="s">
        <v>442</v>
      </c>
      <c r="H500" s="50" t="s">
        <v>1164</v>
      </c>
    </row>
    <row r="501" spans="1:62" x14ac:dyDescent="0.2">
      <c r="C501" s="195">
        <v>44529</v>
      </c>
      <c r="D501" s="55">
        <v>260</v>
      </c>
      <c r="E501" s="55" t="s">
        <v>1165</v>
      </c>
      <c r="F501" s="55" t="s">
        <v>390</v>
      </c>
      <c r="G501" s="55" t="s">
        <v>656</v>
      </c>
    </row>
    <row r="502" spans="1:62" x14ac:dyDescent="0.2">
      <c r="C502" s="195">
        <v>44522</v>
      </c>
      <c r="D502" s="55">
        <v>260</v>
      </c>
      <c r="E502" s="55" t="s">
        <v>1166</v>
      </c>
      <c r="F502" s="55" t="s">
        <v>267</v>
      </c>
      <c r="G502" s="55" t="s">
        <v>442</v>
      </c>
    </row>
    <row r="503" spans="1:62" x14ac:dyDescent="0.2">
      <c r="C503" s="195">
        <v>44523</v>
      </c>
      <c r="D503" s="55">
        <v>260</v>
      </c>
      <c r="E503" s="55" t="s">
        <v>1167</v>
      </c>
      <c r="F503" s="55" t="s">
        <v>390</v>
      </c>
      <c r="G503" s="55" t="s">
        <v>408</v>
      </c>
      <c r="H503" s="50" t="s">
        <v>1168</v>
      </c>
    </row>
    <row r="504" spans="1:62" x14ac:dyDescent="0.2">
      <c r="C504" s="195">
        <v>44522</v>
      </c>
      <c r="D504" s="55">
        <v>280</v>
      </c>
      <c r="E504" s="55" t="s">
        <v>1169</v>
      </c>
      <c r="F504" s="55" t="s">
        <v>206</v>
      </c>
      <c r="G504" s="55" t="s">
        <v>214</v>
      </c>
      <c r="H504" s="50" t="s">
        <v>1170</v>
      </c>
    </row>
    <row r="505" spans="1:62" x14ac:dyDescent="0.2">
      <c r="C505" s="195">
        <v>44523</v>
      </c>
      <c r="D505" s="55">
        <v>260</v>
      </c>
      <c r="E505" s="55" t="s">
        <v>1171</v>
      </c>
      <c r="F505" s="55" t="s">
        <v>390</v>
      </c>
      <c r="G505" s="55" t="s">
        <v>408</v>
      </c>
      <c r="H505" s="50" t="s">
        <v>1172</v>
      </c>
    </row>
    <row r="506" spans="1:62" x14ac:dyDescent="0.2">
      <c r="C506" s="195">
        <v>44522</v>
      </c>
      <c r="D506" s="55">
        <v>260</v>
      </c>
      <c r="E506" s="55" t="s">
        <v>1173</v>
      </c>
      <c r="F506" s="55" t="s">
        <v>267</v>
      </c>
      <c r="G506" s="55" t="s">
        <v>442</v>
      </c>
      <c r="H506" s="50" t="s">
        <v>1174</v>
      </c>
    </row>
    <row r="507" spans="1:62" x14ac:dyDescent="0.2">
      <c r="C507" s="195">
        <v>44522</v>
      </c>
      <c r="D507" s="55">
        <v>260</v>
      </c>
      <c r="E507" s="55" t="s">
        <v>1175</v>
      </c>
      <c r="F507" s="55" t="s">
        <v>210</v>
      </c>
      <c r="G507" s="55" t="s">
        <v>211</v>
      </c>
      <c r="H507" s="50" t="s">
        <v>1176</v>
      </c>
    </row>
    <row r="508" spans="1:62" x14ac:dyDescent="0.2">
      <c r="A508" s="57">
        <v>1121</v>
      </c>
      <c r="B508" s="162" t="s">
        <v>836</v>
      </c>
      <c r="C508" s="195">
        <v>44529</v>
      </c>
      <c r="D508" s="55">
        <v>260</v>
      </c>
      <c r="E508" s="55" t="s">
        <v>1177</v>
      </c>
      <c r="F508" s="55" t="s">
        <v>210</v>
      </c>
      <c r="G508" s="55" t="s">
        <v>496</v>
      </c>
      <c r="H508" s="50" t="s">
        <v>224</v>
      </c>
      <c r="I508" s="46" t="s">
        <v>839</v>
      </c>
      <c r="J508" s="52">
        <v>1</v>
      </c>
      <c r="K508" s="52">
        <v>1</v>
      </c>
      <c r="O508" s="1">
        <v>1</v>
      </c>
      <c r="S508" s="1">
        <v>1</v>
      </c>
      <c r="W508" s="1">
        <v>1</v>
      </c>
      <c r="AA508" s="1">
        <v>1</v>
      </c>
      <c r="AG508">
        <v>1</v>
      </c>
      <c r="AM508">
        <v>1</v>
      </c>
      <c r="AN508">
        <v>1</v>
      </c>
      <c r="AO508">
        <v>1</v>
      </c>
      <c r="AP508">
        <v>3</v>
      </c>
      <c r="AQ508">
        <v>3</v>
      </c>
      <c r="AR508">
        <v>3</v>
      </c>
      <c r="AS508">
        <v>4</v>
      </c>
      <c r="AT508">
        <v>1</v>
      </c>
      <c r="AU508">
        <v>1</v>
      </c>
      <c r="AZ508">
        <v>1</v>
      </c>
      <c r="BA508">
        <v>1</v>
      </c>
      <c r="BB508">
        <v>1</v>
      </c>
      <c r="BC508">
        <v>1</v>
      </c>
      <c r="BD508">
        <v>1</v>
      </c>
      <c r="BE508">
        <v>1</v>
      </c>
      <c r="BJ508">
        <v>1</v>
      </c>
    </row>
    <row r="509" spans="1:62" x14ac:dyDescent="0.2">
      <c r="C509" s="195">
        <v>44523</v>
      </c>
      <c r="D509" s="55">
        <v>260</v>
      </c>
      <c r="E509" s="55" t="s">
        <v>1178</v>
      </c>
      <c r="F509" s="55" t="s">
        <v>202</v>
      </c>
      <c r="G509" s="55" t="s">
        <v>302</v>
      </c>
      <c r="H509" s="50" t="s">
        <v>1179</v>
      </c>
    </row>
    <row r="510" spans="1:62" x14ac:dyDescent="0.2">
      <c r="C510" s="195">
        <v>44523</v>
      </c>
      <c r="D510" s="55">
        <v>260</v>
      </c>
      <c r="E510" s="55" t="s">
        <v>1180</v>
      </c>
      <c r="F510" s="55" t="s">
        <v>210</v>
      </c>
      <c r="G510" s="55" t="s">
        <v>235</v>
      </c>
      <c r="H510" s="50" t="s">
        <v>1181</v>
      </c>
    </row>
    <row r="511" spans="1:62" x14ac:dyDescent="0.2">
      <c r="C511" s="195">
        <v>44530</v>
      </c>
      <c r="D511" s="55">
        <v>260</v>
      </c>
      <c r="E511" s="55" t="s">
        <v>1182</v>
      </c>
      <c r="F511" s="55" t="s">
        <v>192</v>
      </c>
      <c r="G511" s="55" t="s">
        <v>563</v>
      </c>
      <c r="H511" s="50" t="s">
        <v>224</v>
      </c>
    </row>
    <row r="512" spans="1:62" x14ac:dyDescent="0.2">
      <c r="C512" s="195">
        <v>44523</v>
      </c>
      <c r="D512" s="55">
        <v>260</v>
      </c>
      <c r="E512" s="55" t="s">
        <v>1183</v>
      </c>
      <c r="F512" s="55" t="s">
        <v>272</v>
      </c>
      <c r="G512" s="55" t="s">
        <v>366</v>
      </c>
      <c r="H512" s="50" t="s">
        <v>224</v>
      </c>
    </row>
    <row r="513" spans="3:8" x14ac:dyDescent="0.2">
      <c r="C513" s="195">
        <v>44523</v>
      </c>
      <c r="D513" s="55">
        <v>260</v>
      </c>
      <c r="E513" s="55" t="s">
        <v>1184</v>
      </c>
      <c r="F513" s="55" t="s">
        <v>272</v>
      </c>
      <c r="G513" s="55" t="s">
        <v>366</v>
      </c>
      <c r="H513" s="50" t="s">
        <v>1185</v>
      </c>
    </row>
    <row r="514" spans="3:8" x14ac:dyDescent="0.2">
      <c r="C514" s="195">
        <v>44523</v>
      </c>
      <c r="D514" s="55">
        <v>280</v>
      </c>
      <c r="E514" s="55" t="s">
        <v>1186</v>
      </c>
      <c r="F514" s="55" t="s">
        <v>263</v>
      </c>
      <c r="G514" s="55" t="s">
        <v>426</v>
      </c>
      <c r="H514" s="50" t="s">
        <v>1187</v>
      </c>
    </row>
    <row r="515" spans="3:8" x14ac:dyDescent="0.2">
      <c r="C515" s="195">
        <v>44523</v>
      </c>
      <c r="D515" s="55">
        <v>260</v>
      </c>
      <c r="E515" s="55" t="s">
        <v>1188</v>
      </c>
      <c r="F515" s="55" t="s">
        <v>231</v>
      </c>
      <c r="G515" s="55" t="s">
        <v>1189</v>
      </c>
      <c r="H515" s="50" t="s">
        <v>1190</v>
      </c>
    </row>
    <row r="516" spans="3:8" x14ac:dyDescent="0.2">
      <c r="C516" s="195">
        <v>44530</v>
      </c>
      <c r="D516" s="55">
        <v>260</v>
      </c>
      <c r="E516" s="55" t="s">
        <v>1191</v>
      </c>
      <c r="F516" s="55" t="s">
        <v>192</v>
      </c>
      <c r="G516" s="55" t="s">
        <v>563</v>
      </c>
      <c r="H516" s="50" t="s">
        <v>1192</v>
      </c>
    </row>
    <row r="517" spans="3:8" x14ac:dyDescent="0.2">
      <c r="C517" s="195">
        <v>44523</v>
      </c>
      <c r="D517" s="55">
        <v>280</v>
      </c>
      <c r="E517" s="55" t="s">
        <v>1193</v>
      </c>
      <c r="F517" s="55" t="s">
        <v>231</v>
      </c>
      <c r="G517" s="55" t="s">
        <v>421</v>
      </c>
      <c r="H517" s="50" t="s">
        <v>1194</v>
      </c>
    </row>
    <row r="518" spans="3:8" x14ac:dyDescent="0.2">
      <c r="C518" s="195">
        <v>44523</v>
      </c>
      <c r="D518" s="55">
        <v>260</v>
      </c>
      <c r="E518" s="55" t="s">
        <v>1195</v>
      </c>
      <c r="F518" s="55" t="s">
        <v>231</v>
      </c>
      <c r="G518" s="55" t="s">
        <v>421</v>
      </c>
      <c r="H518" s="50" t="s">
        <v>1196</v>
      </c>
    </row>
    <row r="519" spans="3:8" x14ac:dyDescent="0.2">
      <c r="C519" s="195">
        <v>44523</v>
      </c>
      <c r="D519" s="55">
        <v>280</v>
      </c>
      <c r="E519" s="55" t="s">
        <v>1197</v>
      </c>
      <c r="F519" s="55" t="s">
        <v>267</v>
      </c>
      <c r="G519" s="55" t="s">
        <v>442</v>
      </c>
      <c r="H519" s="50" t="s">
        <v>1198</v>
      </c>
    </row>
    <row r="520" spans="3:8" x14ac:dyDescent="0.2">
      <c r="C520" s="195">
        <v>44529</v>
      </c>
      <c r="D520" s="55">
        <v>280</v>
      </c>
      <c r="E520" s="55" t="s">
        <v>1199</v>
      </c>
      <c r="F520" s="55" t="s">
        <v>272</v>
      </c>
      <c r="G520" s="55" t="s">
        <v>273</v>
      </c>
      <c r="H520" s="50" t="s">
        <v>1200</v>
      </c>
    </row>
    <row r="521" spans="3:8" x14ac:dyDescent="0.2">
      <c r="C521" s="195">
        <v>44530</v>
      </c>
      <c r="D521" s="55">
        <v>260</v>
      </c>
      <c r="E521" s="55" t="s">
        <v>1201</v>
      </c>
      <c r="F521" s="55" t="s">
        <v>272</v>
      </c>
      <c r="G521" s="55" t="s">
        <v>273</v>
      </c>
      <c r="H521" s="50" t="s">
        <v>1202</v>
      </c>
    </row>
    <row r="522" spans="3:8" x14ac:dyDescent="0.2">
      <c r="C522" s="195">
        <v>44529</v>
      </c>
      <c r="D522" s="55">
        <v>280</v>
      </c>
      <c r="E522" s="55" t="s">
        <v>1203</v>
      </c>
      <c r="F522" s="55" t="s">
        <v>231</v>
      </c>
      <c r="G522" s="55" t="s">
        <v>255</v>
      </c>
      <c r="H522" s="50" t="s">
        <v>1204</v>
      </c>
    </row>
    <row r="523" spans="3:8" x14ac:dyDescent="0.2">
      <c r="C523" s="195">
        <v>44529</v>
      </c>
      <c r="D523" s="55">
        <v>260</v>
      </c>
      <c r="E523" s="55" t="s">
        <v>1205</v>
      </c>
      <c r="F523" s="55" t="s">
        <v>263</v>
      </c>
      <c r="G523" s="55" t="s">
        <v>506</v>
      </c>
      <c r="H523" s="50" t="s">
        <v>1206</v>
      </c>
    </row>
    <row r="524" spans="3:8" x14ac:dyDescent="0.2">
      <c r="C524" s="195">
        <v>44530</v>
      </c>
      <c r="D524" s="55">
        <v>260</v>
      </c>
      <c r="E524" s="55" t="s">
        <v>1207</v>
      </c>
      <c r="F524" s="55" t="s">
        <v>231</v>
      </c>
      <c r="G524" s="55" t="s">
        <v>421</v>
      </c>
      <c r="H524" s="50" t="s">
        <v>1208</v>
      </c>
    </row>
    <row r="525" spans="3:8" x14ac:dyDescent="0.2">
      <c r="C525" s="195">
        <v>44530</v>
      </c>
      <c r="D525" s="55">
        <v>280</v>
      </c>
      <c r="E525" s="55" t="s">
        <v>1209</v>
      </c>
      <c r="F525" s="55" t="s">
        <v>202</v>
      </c>
      <c r="G525" s="55" t="s">
        <v>297</v>
      </c>
      <c r="H525" s="50" t="s">
        <v>1210</v>
      </c>
    </row>
    <row r="526" spans="3:8" x14ac:dyDescent="0.2">
      <c r="C526" s="195">
        <v>44529</v>
      </c>
      <c r="D526" s="55">
        <v>280</v>
      </c>
      <c r="E526" s="55" t="s">
        <v>1211</v>
      </c>
      <c r="F526" s="55" t="s">
        <v>272</v>
      </c>
      <c r="G526" s="55" t="s">
        <v>273</v>
      </c>
      <c r="H526" s="50" t="s">
        <v>1212</v>
      </c>
    </row>
    <row r="527" spans="3:8" x14ac:dyDescent="0.2">
      <c r="C527" s="195">
        <v>44529</v>
      </c>
      <c r="D527" s="55">
        <v>280</v>
      </c>
      <c r="E527" s="55" t="s">
        <v>1213</v>
      </c>
      <c r="F527" s="55" t="s">
        <v>267</v>
      </c>
      <c r="G527" s="55" t="s">
        <v>708</v>
      </c>
    </row>
    <row r="528" spans="3:8" x14ac:dyDescent="0.2">
      <c r="C528" s="195">
        <v>44530</v>
      </c>
      <c r="D528" s="55">
        <v>260</v>
      </c>
      <c r="E528" s="55" t="s">
        <v>1214</v>
      </c>
      <c r="F528" s="55" t="s">
        <v>291</v>
      </c>
      <c r="G528" s="55" t="s">
        <v>1215</v>
      </c>
      <c r="H528" s="50" t="s">
        <v>1216</v>
      </c>
    </row>
    <row r="529" spans="1:9" x14ac:dyDescent="0.2">
      <c r="C529" s="195">
        <v>44530</v>
      </c>
      <c r="D529" s="55">
        <v>260</v>
      </c>
      <c r="E529" s="55" t="s">
        <v>1217</v>
      </c>
      <c r="F529" s="55" t="s">
        <v>263</v>
      </c>
      <c r="G529" s="55" t="s">
        <v>1005</v>
      </c>
      <c r="H529" s="50" t="s">
        <v>1218</v>
      </c>
    </row>
    <row r="530" spans="1:9" x14ac:dyDescent="0.2">
      <c r="C530" s="195">
        <v>44530</v>
      </c>
      <c r="D530" s="55">
        <v>260</v>
      </c>
      <c r="E530" s="55" t="s">
        <v>1219</v>
      </c>
      <c r="F530" s="55" t="s">
        <v>231</v>
      </c>
      <c r="G530" s="55" t="s">
        <v>387</v>
      </c>
      <c r="H530" s="50" t="s">
        <v>1220</v>
      </c>
    </row>
    <row r="531" spans="1:9" x14ac:dyDescent="0.2">
      <c r="C531" s="195">
        <v>44530</v>
      </c>
      <c r="D531" s="55">
        <v>260</v>
      </c>
      <c r="E531" s="55" t="s">
        <v>1221</v>
      </c>
      <c r="F531" s="55" t="s">
        <v>263</v>
      </c>
      <c r="G531" s="55" t="s">
        <v>1005</v>
      </c>
      <c r="H531" s="50" t="s">
        <v>1222</v>
      </c>
    </row>
    <row r="532" spans="1:9" x14ac:dyDescent="0.2">
      <c r="C532" s="195">
        <v>44530</v>
      </c>
      <c r="D532" s="55">
        <v>260</v>
      </c>
      <c r="E532" s="55" t="s">
        <v>1223</v>
      </c>
      <c r="F532" s="55" t="s">
        <v>390</v>
      </c>
      <c r="G532" s="55" t="s">
        <v>779</v>
      </c>
      <c r="H532" s="50" t="s">
        <v>1224</v>
      </c>
    </row>
    <row r="533" spans="1:9" x14ac:dyDescent="0.2">
      <c r="A533" s="57">
        <v>1121</v>
      </c>
      <c r="B533" t="s">
        <v>836</v>
      </c>
      <c r="C533" s="195">
        <v>44530</v>
      </c>
      <c r="D533" s="55">
        <v>260</v>
      </c>
      <c r="E533" s="55" t="s">
        <v>1225</v>
      </c>
      <c r="F533" s="55" t="s">
        <v>291</v>
      </c>
      <c r="G533" s="55" t="s">
        <v>1215</v>
      </c>
      <c r="H533" s="50" t="s">
        <v>224</v>
      </c>
      <c r="I533" s="46" t="s">
        <v>837</v>
      </c>
    </row>
    <row r="534" spans="1:9" x14ac:dyDescent="0.2">
      <c r="C534" s="195">
        <v>44530</v>
      </c>
      <c r="D534" s="55">
        <v>260</v>
      </c>
      <c r="E534" s="55" t="s">
        <v>1226</v>
      </c>
      <c r="F534" s="55" t="s">
        <v>231</v>
      </c>
      <c r="G534" s="55" t="s">
        <v>387</v>
      </c>
      <c r="H534" s="50" t="s">
        <v>1227</v>
      </c>
    </row>
    <row r="535" spans="1:9" x14ac:dyDescent="0.2">
      <c r="C535" s="195">
        <v>44530</v>
      </c>
      <c r="D535" s="55">
        <v>280</v>
      </c>
      <c r="E535" s="55" t="s">
        <v>1228</v>
      </c>
      <c r="F535" s="55" t="s">
        <v>263</v>
      </c>
      <c r="G535" s="55" t="s">
        <v>995</v>
      </c>
      <c r="H535" s="50" t="s">
        <v>1229</v>
      </c>
    </row>
    <row r="536" spans="1:9" x14ac:dyDescent="0.2">
      <c r="C536" s="195">
        <v>44530</v>
      </c>
      <c r="D536" s="55">
        <v>260</v>
      </c>
      <c r="E536" s="55" t="s">
        <v>1230</v>
      </c>
      <c r="F536" s="55" t="s">
        <v>231</v>
      </c>
      <c r="G536" s="55" t="s">
        <v>387</v>
      </c>
      <c r="H536" s="50" t="s">
        <v>1231</v>
      </c>
    </row>
    <row r="537" spans="1:9" x14ac:dyDescent="0.2">
      <c r="C537" s="195">
        <v>44530</v>
      </c>
      <c r="D537" s="55">
        <v>280</v>
      </c>
      <c r="E537" s="55" t="s">
        <v>1232</v>
      </c>
      <c r="F537" s="55" t="s">
        <v>291</v>
      </c>
      <c r="G537" s="55" t="s">
        <v>1233</v>
      </c>
      <c r="H537" s="50" t="s">
        <v>224</v>
      </c>
    </row>
    <row r="538" spans="1:9" x14ac:dyDescent="0.2">
      <c r="C538" s="195">
        <v>44530</v>
      </c>
      <c r="D538" s="55">
        <v>280</v>
      </c>
      <c r="E538" s="55" t="s">
        <v>1234</v>
      </c>
      <c r="F538" s="55" t="s">
        <v>231</v>
      </c>
      <c r="G538" s="55" t="s">
        <v>435</v>
      </c>
      <c r="H538" s="50" t="s">
        <v>1235</v>
      </c>
    </row>
    <row r="539" spans="1:9" x14ac:dyDescent="0.2">
      <c r="C539" s="195">
        <v>44530</v>
      </c>
      <c r="D539" s="55">
        <v>260</v>
      </c>
      <c r="E539" s="55" t="s">
        <v>1236</v>
      </c>
      <c r="F539" s="55" t="s">
        <v>231</v>
      </c>
      <c r="G539" s="55" t="s">
        <v>387</v>
      </c>
      <c r="H539" s="50" t="s">
        <v>1237</v>
      </c>
    </row>
    <row r="540" spans="1:9" x14ac:dyDescent="0.2">
      <c r="C540" s="195">
        <v>44530</v>
      </c>
      <c r="D540" s="55">
        <v>260</v>
      </c>
      <c r="E540" s="55" t="s">
        <v>1238</v>
      </c>
      <c r="F540" s="55" t="s">
        <v>231</v>
      </c>
      <c r="G540" s="55" t="s">
        <v>255</v>
      </c>
      <c r="H540" s="50" t="s">
        <v>1239</v>
      </c>
    </row>
    <row r="541" spans="1:9" x14ac:dyDescent="0.2">
      <c r="C541" s="195">
        <v>44530</v>
      </c>
      <c r="D541" s="55">
        <v>280</v>
      </c>
      <c r="E541" s="55" t="s">
        <v>1240</v>
      </c>
      <c r="F541" s="55" t="s">
        <v>231</v>
      </c>
      <c r="G541" s="55" t="s">
        <v>1241</v>
      </c>
      <c r="H541" s="50" t="s">
        <v>224</v>
      </c>
    </row>
    <row r="542" spans="1:9" x14ac:dyDescent="0.2">
      <c r="C542" s="195">
        <v>44530</v>
      </c>
      <c r="D542" s="55">
        <v>280</v>
      </c>
      <c r="E542" s="55" t="s">
        <v>1242</v>
      </c>
      <c r="F542" s="55" t="s">
        <v>267</v>
      </c>
      <c r="G542" s="55" t="s">
        <v>331</v>
      </c>
      <c r="H542" s="50" t="s">
        <v>1243</v>
      </c>
    </row>
    <row r="543" spans="1:9" x14ac:dyDescent="0.2">
      <c r="C543" s="195">
        <v>44530</v>
      </c>
      <c r="D543" s="55">
        <v>260</v>
      </c>
      <c r="E543" s="55" t="s">
        <v>1244</v>
      </c>
      <c r="F543" s="55" t="s">
        <v>263</v>
      </c>
      <c r="G543" s="55" t="s">
        <v>1005</v>
      </c>
      <c r="H543" s="50" t="s">
        <v>1245</v>
      </c>
    </row>
    <row r="544" spans="1:9" x14ac:dyDescent="0.2">
      <c r="C544" s="195">
        <v>44530</v>
      </c>
      <c r="D544" s="55">
        <v>280</v>
      </c>
      <c r="E544" s="55" t="s">
        <v>1246</v>
      </c>
      <c r="F544" s="55" t="s">
        <v>291</v>
      </c>
      <c r="G544" s="55" t="s">
        <v>1247</v>
      </c>
      <c r="H544" s="50" t="s">
        <v>1248</v>
      </c>
    </row>
    <row r="545" spans="1:62" x14ac:dyDescent="0.2">
      <c r="C545" s="195">
        <v>44530</v>
      </c>
      <c r="D545" s="55">
        <v>260</v>
      </c>
      <c r="E545" s="55" t="s">
        <v>1249</v>
      </c>
      <c r="F545" s="55" t="s">
        <v>267</v>
      </c>
      <c r="G545" s="55" t="s">
        <v>442</v>
      </c>
      <c r="H545" s="50" t="s">
        <v>1250</v>
      </c>
    </row>
    <row r="546" spans="1:62" x14ac:dyDescent="0.2">
      <c r="C546" s="195">
        <v>44530</v>
      </c>
      <c r="D546" s="55">
        <v>260</v>
      </c>
      <c r="E546" s="55" t="s">
        <v>1251</v>
      </c>
      <c r="F546" s="55" t="s">
        <v>267</v>
      </c>
      <c r="G546" s="55" t="s">
        <v>442</v>
      </c>
      <c r="H546" s="50" t="s">
        <v>1252</v>
      </c>
    </row>
    <row r="547" spans="1:62" x14ac:dyDescent="0.2">
      <c r="C547" s="195">
        <v>44537</v>
      </c>
      <c r="D547" s="55">
        <v>280</v>
      </c>
      <c r="E547" s="55" t="s">
        <v>1253</v>
      </c>
      <c r="F547" s="55" t="s">
        <v>291</v>
      </c>
      <c r="G547" s="55" t="s">
        <v>1233</v>
      </c>
      <c r="H547" s="50" t="s">
        <v>1254</v>
      </c>
    </row>
    <row r="548" spans="1:62" x14ac:dyDescent="0.2">
      <c r="C548" s="195">
        <v>44540</v>
      </c>
      <c r="D548" s="55">
        <v>280</v>
      </c>
      <c r="E548" s="55" t="s">
        <v>1255</v>
      </c>
      <c r="F548" s="55" t="s">
        <v>231</v>
      </c>
      <c r="G548" s="55" t="s">
        <v>435</v>
      </c>
      <c r="H548" s="50" t="s">
        <v>1256</v>
      </c>
    </row>
    <row r="549" spans="1:62" x14ac:dyDescent="0.2">
      <c r="C549" s="195">
        <v>44536</v>
      </c>
      <c r="D549" s="55">
        <v>260</v>
      </c>
      <c r="E549" s="55" t="s">
        <v>1257</v>
      </c>
      <c r="F549" s="55" t="s">
        <v>202</v>
      </c>
      <c r="G549" s="55" t="s">
        <v>344</v>
      </c>
      <c r="H549" s="50" t="s">
        <v>224</v>
      </c>
    </row>
    <row r="550" spans="1:62" x14ac:dyDescent="0.2">
      <c r="C550" s="195">
        <v>44546</v>
      </c>
      <c r="D550" s="55">
        <v>260</v>
      </c>
      <c r="E550" s="55" t="s">
        <v>1258</v>
      </c>
      <c r="F550" s="55" t="s">
        <v>390</v>
      </c>
      <c r="G550" s="55" t="s">
        <v>590</v>
      </c>
    </row>
    <row r="551" spans="1:62" x14ac:dyDescent="0.2">
      <c r="C551" s="195">
        <v>44543</v>
      </c>
      <c r="D551" s="55">
        <v>260</v>
      </c>
      <c r="E551" s="55" t="s">
        <v>1259</v>
      </c>
      <c r="F551" s="55" t="s">
        <v>206</v>
      </c>
      <c r="G551" s="55" t="s">
        <v>548</v>
      </c>
      <c r="H551" s="50" t="s">
        <v>1260</v>
      </c>
    </row>
    <row r="552" spans="1:62" x14ac:dyDescent="0.2">
      <c r="C552" s="195">
        <v>44536</v>
      </c>
      <c r="D552" s="55">
        <v>260</v>
      </c>
      <c r="E552" s="55" t="s">
        <v>1261</v>
      </c>
      <c r="F552" s="55" t="s">
        <v>202</v>
      </c>
      <c r="G552" s="55" t="s">
        <v>341</v>
      </c>
      <c r="H552" s="50" t="s">
        <v>224</v>
      </c>
    </row>
    <row r="553" spans="1:62" x14ac:dyDescent="0.2">
      <c r="C553" s="195">
        <v>44557</v>
      </c>
      <c r="D553" s="55">
        <v>260</v>
      </c>
      <c r="E553" s="55" t="s">
        <v>1262</v>
      </c>
      <c r="F553" s="55" t="s">
        <v>206</v>
      </c>
      <c r="G553" s="55" t="s">
        <v>228</v>
      </c>
      <c r="H553" s="50" t="s">
        <v>1263</v>
      </c>
    </row>
    <row r="554" spans="1:62" x14ac:dyDescent="0.2">
      <c r="A554" s="57">
        <v>1221</v>
      </c>
      <c r="B554" t="s">
        <v>836</v>
      </c>
      <c r="C554" s="195">
        <v>44558</v>
      </c>
      <c r="D554" s="55">
        <v>280</v>
      </c>
      <c r="E554" s="55" t="s">
        <v>1264</v>
      </c>
      <c r="F554" s="55" t="s">
        <v>192</v>
      </c>
      <c r="G554" s="55" t="s">
        <v>487</v>
      </c>
      <c r="H554" s="50" t="s">
        <v>224</v>
      </c>
      <c r="I554" s="46" t="s">
        <v>837</v>
      </c>
    </row>
    <row r="555" spans="1:62" x14ac:dyDescent="0.2">
      <c r="C555" s="195">
        <v>44557</v>
      </c>
      <c r="D555" s="55">
        <v>280</v>
      </c>
      <c r="E555" s="55" t="s">
        <v>1265</v>
      </c>
      <c r="F555" s="55" t="s">
        <v>206</v>
      </c>
      <c r="G555" s="55" t="s">
        <v>676</v>
      </c>
      <c r="H555" s="50" t="s">
        <v>1266</v>
      </c>
    </row>
    <row r="556" spans="1:62" x14ac:dyDescent="0.2">
      <c r="A556" s="57">
        <v>1221</v>
      </c>
      <c r="B556" s="162" t="s">
        <v>836</v>
      </c>
      <c r="C556" s="195">
        <v>44531</v>
      </c>
      <c r="D556" s="55">
        <v>260</v>
      </c>
      <c r="E556" s="55" t="s">
        <v>1267</v>
      </c>
      <c r="F556" s="55" t="s">
        <v>291</v>
      </c>
      <c r="G556" s="55" t="s">
        <v>480</v>
      </c>
      <c r="H556" s="50" t="s">
        <v>224</v>
      </c>
      <c r="I556" s="46" t="s">
        <v>839</v>
      </c>
      <c r="J556" s="52">
        <v>1</v>
      </c>
      <c r="K556" s="52">
        <v>1</v>
      </c>
      <c r="O556" s="1">
        <v>5</v>
      </c>
      <c r="S556" s="1">
        <v>5</v>
      </c>
      <c r="W556" s="1">
        <v>5</v>
      </c>
      <c r="AA556" s="1">
        <v>2</v>
      </c>
      <c r="AG556">
        <v>2</v>
      </c>
      <c r="AM556">
        <v>4</v>
      </c>
      <c r="AS556">
        <v>4</v>
      </c>
      <c r="AT556">
        <v>1</v>
      </c>
      <c r="AU556">
        <v>1</v>
      </c>
      <c r="AZ556">
        <v>1</v>
      </c>
      <c r="BA556">
        <v>1</v>
      </c>
      <c r="BB556">
        <v>1</v>
      </c>
      <c r="BC556">
        <v>1</v>
      </c>
      <c r="BD556">
        <v>1</v>
      </c>
      <c r="BE556">
        <v>1</v>
      </c>
      <c r="BJ556">
        <v>1</v>
      </c>
    </row>
    <row r="557" spans="1:62" x14ac:dyDescent="0.2">
      <c r="C557" s="195">
        <v>44552</v>
      </c>
      <c r="D557" s="55">
        <v>260</v>
      </c>
      <c r="E557" s="55" t="s">
        <v>1268</v>
      </c>
      <c r="F557" s="55" t="s">
        <v>210</v>
      </c>
      <c r="G557" s="55" t="s">
        <v>306</v>
      </c>
      <c r="H557" s="50" t="s">
        <v>1269</v>
      </c>
    </row>
    <row r="558" spans="1:62" x14ac:dyDescent="0.2">
      <c r="C558" s="195">
        <v>44547</v>
      </c>
      <c r="D558" s="55">
        <v>260</v>
      </c>
      <c r="E558" s="55" t="s">
        <v>1270</v>
      </c>
      <c r="F558" s="55" t="s">
        <v>192</v>
      </c>
      <c r="G558" s="55" t="s">
        <v>401</v>
      </c>
      <c r="H558" s="50" t="s">
        <v>1271</v>
      </c>
    </row>
    <row r="559" spans="1:62" x14ac:dyDescent="0.2">
      <c r="C559" s="195">
        <v>44560</v>
      </c>
      <c r="D559" s="55">
        <v>280</v>
      </c>
      <c r="E559" s="55" t="s">
        <v>1272</v>
      </c>
      <c r="F559" s="55" t="s">
        <v>263</v>
      </c>
      <c r="G559" s="55" t="s">
        <v>705</v>
      </c>
      <c r="H559" s="50" t="s">
        <v>1273</v>
      </c>
    </row>
    <row r="560" spans="1:62" x14ac:dyDescent="0.2">
      <c r="C560" s="195">
        <v>44538</v>
      </c>
      <c r="D560" s="55">
        <v>260</v>
      </c>
      <c r="E560" s="55" t="s">
        <v>1274</v>
      </c>
      <c r="F560" s="55" t="s">
        <v>267</v>
      </c>
      <c r="G560" s="55" t="s">
        <v>535</v>
      </c>
      <c r="H560" s="50" t="s">
        <v>1275</v>
      </c>
    </row>
    <row r="561" spans="1:9" x14ac:dyDescent="0.2">
      <c r="C561" s="195">
        <v>44532</v>
      </c>
      <c r="D561" s="55">
        <v>260</v>
      </c>
      <c r="E561" s="55" t="s">
        <v>1276</v>
      </c>
      <c r="F561" s="55" t="s">
        <v>219</v>
      </c>
      <c r="G561" s="55" t="s">
        <v>249</v>
      </c>
      <c r="H561" s="50" t="s">
        <v>1277</v>
      </c>
    </row>
    <row r="562" spans="1:9" x14ac:dyDescent="0.2">
      <c r="C562" s="195">
        <v>44558</v>
      </c>
      <c r="D562" s="55">
        <v>260</v>
      </c>
      <c r="E562" s="55" t="s">
        <v>1278</v>
      </c>
      <c r="F562" s="55" t="s">
        <v>291</v>
      </c>
      <c r="G562" s="55" t="s">
        <v>819</v>
      </c>
      <c r="H562" s="50" t="s">
        <v>1279</v>
      </c>
    </row>
    <row r="563" spans="1:9" x14ac:dyDescent="0.2">
      <c r="A563" s="57">
        <v>1221</v>
      </c>
      <c r="B563" t="s">
        <v>836</v>
      </c>
      <c r="C563" s="195">
        <v>44551</v>
      </c>
      <c r="D563" s="55">
        <v>280</v>
      </c>
      <c r="E563" s="55" t="s">
        <v>1280</v>
      </c>
      <c r="F563" s="55" t="s">
        <v>231</v>
      </c>
      <c r="G563" s="55" t="s">
        <v>232</v>
      </c>
      <c r="H563" s="50" t="s">
        <v>1281</v>
      </c>
      <c r="I563" s="46" t="s">
        <v>837</v>
      </c>
    </row>
    <row r="564" spans="1:9" x14ac:dyDescent="0.2">
      <c r="C564" s="195">
        <v>44537</v>
      </c>
      <c r="D564" s="55">
        <v>260</v>
      </c>
      <c r="E564" s="55" t="s">
        <v>1282</v>
      </c>
      <c r="F564" s="55" t="s">
        <v>231</v>
      </c>
      <c r="G564" s="55" t="s">
        <v>421</v>
      </c>
      <c r="H564" s="50" t="s">
        <v>1283</v>
      </c>
    </row>
    <row r="565" spans="1:9" x14ac:dyDescent="0.2">
      <c r="C565" s="195">
        <v>44551</v>
      </c>
      <c r="D565" s="55">
        <v>280</v>
      </c>
      <c r="E565" s="55" t="s">
        <v>1284</v>
      </c>
      <c r="F565" s="55" t="s">
        <v>231</v>
      </c>
      <c r="G565" s="55" t="s">
        <v>232</v>
      </c>
      <c r="H565" s="50" t="s">
        <v>1285</v>
      </c>
    </row>
    <row r="566" spans="1:9" x14ac:dyDescent="0.2">
      <c r="C566" s="195">
        <v>44537</v>
      </c>
      <c r="D566" s="55">
        <v>260</v>
      </c>
      <c r="E566" s="55" t="s">
        <v>1286</v>
      </c>
      <c r="F566" s="55" t="s">
        <v>210</v>
      </c>
      <c r="G566" s="55" t="s">
        <v>508</v>
      </c>
      <c r="H566" s="50" t="s">
        <v>1287</v>
      </c>
    </row>
    <row r="567" spans="1:9" x14ac:dyDescent="0.2">
      <c r="C567" s="195">
        <v>44539</v>
      </c>
      <c r="D567" s="55">
        <v>260</v>
      </c>
      <c r="E567" s="55" t="s">
        <v>1288</v>
      </c>
      <c r="F567" s="55" t="s">
        <v>231</v>
      </c>
      <c r="G567" s="55" t="s">
        <v>421</v>
      </c>
      <c r="H567" s="50" t="s">
        <v>1289</v>
      </c>
    </row>
    <row r="568" spans="1:9" x14ac:dyDescent="0.2">
      <c r="C568" s="195">
        <v>44558</v>
      </c>
      <c r="D568" s="55">
        <v>260</v>
      </c>
      <c r="E568" s="55" t="s">
        <v>1290</v>
      </c>
      <c r="F568" s="55" t="s">
        <v>390</v>
      </c>
      <c r="G568" s="55" t="s">
        <v>656</v>
      </c>
      <c r="H568" s="50" t="s">
        <v>1291</v>
      </c>
    </row>
    <row r="569" spans="1:9" x14ac:dyDescent="0.2">
      <c r="C569" s="195">
        <v>44558</v>
      </c>
      <c r="D569" s="55">
        <v>280</v>
      </c>
      <c r="E569" s="55" t="s">
        <v>1292</v>
      </c>
      <c r="F569" s="55" t="s">
        <v>244</v>
      </c>
      <c r="G569" s="55" t="s">
        <v>378</v>
      </c>
      <c r="H569" s="50" t="s">
        <v>1293</v>
      </c>
    </row>
    <row r="570" spans="1:9" x14ac:dyDescent="0.2">
      <c r="C570" s="195">
        <v>44545</v>
      </c>
      <c r="D570" s="55">
        <v>260</v>
      </c>
      <c r="E570" s="55" t="s">
        <v>1294</v>
      </c>
      <c r="F570" s="55" t="s">
        <v>202</v>
      </c>
      <c r="G570" s="55" t="s">
        <v>276</v>
      </c>
      <c r="H570" s="50" t="s">
        <v>1295</v>
      </c>
    </row>
    <row r="571" spans="1:9" x14ac:dyDescent="0.2">
      <c r="C571" s="195">
        <v>44531</v>
      </c>
      <c r="D571" s="55">
        <v>260</v>
      </c>
      <c r="E571" s="55" t="s">
        <v>1296</v>
      </c>
      <c r="F571" s="55" t="s">
        <v>210</v>
      </c>
      <c r="G571" s="55" t="s">
        <v>383</v>
      </c>
      <c r="H571" s="50" t="s">
        <v>1297</v>
      </c>
    </row>
    <row r="572" spans="1:9" x14ac:dyDescent="0.2">
      <c r="C572" s="195">
        <v>44557</v>
      </c>
      <c r="D572" s="55">
        <v>260</v>
      </c>
      <c r="E572" s="55" t="s">
        <v>1298</v>
      </c>
      <c r="F572" s="55" t="s">
        <v>196</v>
      </c>
      <c r="G572" s="55" t="s">
        <v>352</v>
      </c>
      <c r="H572" s="50" t="s">
        <v>1299</v>
      </c>
    </row>
    <row r="573" spans="1:9" x14ac:dyDescent="0.2">
      <c r="C573" s="195">
        <v>44559</v>
      </c>
      <c r="D573" s="55">
        <v>260</v>
      </c>
      <c r="E573" s="55" t="s">
        <v>1300</v>
      </c>
      <c r="F573" s="55" t="s">
        <v>291</v>
      </c>
      <c r="G573" s="55" t="s">
        <v>1247</v>
      </c>
      <c r="H573" s="50" t="s">
        <v>1301</v>
      </c>
    </row>
    <row r="574" spans="1:9" x14ac:dyDescent="0.2">
      <c r="C574" s="195">
        <v>44531</v>
      </c>
      <c r="D574" s="55">
        <v>260</v>
      </c>
      <c r="E574" s="55" t="s">
        <v>1302</v>
      </c>
      <c r="F574" s="55" t="s">
        <v>267</v>
      </c>
      <c r="G574" s="55" t="s">
        <v>442</v>
      </c>
      <c r="H574" s="50" t="s">
        <v>224</v>
      </c>
    </row>
    <row r="575" spans="1:9" x14ac:dyDescent="0.2">
      <c r="C575" s="195">
        <v>44543</v>
      </c>
      <c r="D575" s="55">
        <v>280</v>
      </c>
      <c r="E575" s="55" t="s">
        <v>1303</v>
      </c>
      <c r="F575" s="55" t="s">
        <v>231</v>
      </c>
      <c r="G575" s="55" t="s">
        <v>782</v>
      </c>
      <c r="H575" s="50" t="s">
        <v>1304</v>
      </c>
    </row>
    <row r="576" spans="1:9" x14ac:dyDescent="0.2">
      <c r="C576" s="195">
        <v>44558</v>
      </c>
      <c r="D576" s="55">
        <v>260</v>
      </c>
      <c r="E576" s="55" t="s">
        <v>1305</v>
      </c>
      <c r="F576" s="55" t="s">
        <v>390</v>
      </c>
      <c r="G576" s="55" t="s">
        <v>656</v>
      </c>
      <c r="H576" s="50" t="s">
        <v>1306</v>
      </c>
    </row>
    <row r="577" spans="1:9" x14ac:dyDescent="0.2">
      <c r="C577" s="195">
        <v>44537</v>
      </c>
      <c r="D577" s="55">
        <v>280</v>
      </c>
      <c r="E577" s="55" t="s">
        <v>1307</v>
      </c>
      <c r="F577" s="55" t="s">
        <v>206</v>
      </c>
      <c r="G577" s="55" t="s">
        <v>338</v>
      </c>
    </row>
    <row r="578" spans="1:9" x14ac:dyDescent="0.2">
      <c r="C578" s="195">
        <v>44540</v>
      </c>
      <c r="D578" s="55">
        <v>260</v>
      </c>
      <c r="E578" s="55" t="s">
        <v>1308</v>
      </c>
      <c r="F578" s="55" t="s">
        <v>231</v>
      </c>
      <c r="G578" s="55" t="s">
        <v>421</v>
      </c>
      <c r="H578" s="50" t="s">
        <v>1309</v>
      </c>
    </row>
    <row r="579" spans="1:9" x14ac:dyDescent="0.2">
      <c r="C579" s="195">
        <v>44545</v>
      </c>
      <c r="D579" s="55">
        <v>260</v>
      </c>
      <c r="E579" s="55" t="s">
        <v>1310</v>
      </c>
      <c r="F579" s="55" t="s">
        <v>202</v>
      </c>
      <c r="G579" s="55" t="s">
        <v>341</v>
      </c>
      <c r="H579" s="50" t="s">
        <v>224</v>
      </c>
    </row>
    <row r="580" spans="1:9" x14ac:dyDescent="0.2">
      <c r="C580" s="195">
        <v>44560</v>
      </c>
      <c r="D580" s="55">
        <v>260</v>
      </c>
      <c r="E580" s="55" t="s">
        <v>1311</v>
      </c>
      <c r="F580" s="55" t="s">
        <v>210</v>
      </c>
      <c r="G580" s="55" t="s">
        <v>883</v>
      </c>
      <c r="H580" s="50" t="s">
        <v>1312</v>
      </c>
    </row>
    <row r="581" spans="1:9" x14ac:dyDescent="0.2">
      <c r="C581" s="195">
        <v>44533</v>
      </c>
      <c r="D581" s="55">
        <v>280</v>
      </c>
      <c r="E581" s="55" t="s">
        <v>1313</v>
      </c>
      <c r="F581" s="55" t="s">
        <v>196</v>
      </c>
      <c r="G581" s="55" t="s">
        <v>197</v>
      </c>
      <c r="H581" s="50" t="s">
        <v>1314</v>
      </c>
    </row>
    <row r="582" spans="1:9" x14ac:dyDescent="0.2">
      <c r="C582" s="195">
        <v>44558</v>
      </c>
      <c r="D582" s="55">
        <v>280</v>
      </c>
      <c r="E582" s="55" t="s">
        <v>1315</v>
      </c>
      <c r="F582" s="55" t="s">
        <v>231</v>
      </c>
      <c r="G582" s="55" t="s">
        <v>232</v>
      </c>
      <c r="H582" s="50" t="s">
        <v>1316</v>
      </c>
    </row>
    <row r="583" spans="1:9" x14ac:dyDescent="0.2">
      <c r="C583" s="195">
        <v>44532</v>
      </c>
      <c r="D583" s="55">
        <v>280</v>
      </c>
      <c r="E583" s="55" t="s">
        <v>1317</v>
      </c>
      <c r="F583" s="55" t="s">
        <v>244</v>
      </c>
      <c r="G583" s="55" t="s">
        <v>260</v>
      </c>
      <c r="H583" s="50" t="s">
        <v>224</v>
      </c>
    </row>
    <row r="584" spans="1:9" x14ac:dyDescent="0.2">
      <c r="C584" s="195">
        <v>44546</v>
      </c>
      <c r="D584" s="55">
        <v>260</v>
      </c>
      <c r="E584" s="55" t="s">
        <v>1318</v>
      </c>
      <c r="F584" s="55" t="s">
        <v>202</v>
      </c>
      <c r="G584" s="55" t="s">
        <v>297</v>
      </c>
      <c r="H584" s="50" t="s">
        <v>1319</v>
      </c>
    </row>
    <row r="585" spans="1:9" x14ac:dyDescent="0.2">
      <c r="C585" s="195">
        <v>44545</v>
      </c>
      <c r="D585" s="55">
        <v>280</v>
      </c>
      <c r="E585" s="55" t="s">
        <v>1320</v>
      </c>
      <c r="F585" s="55" t="s">
        <v>219</v>
      </c>
      <c r="G585" s="55" t="s">
        <v>451</v>
      </c>
      <c r="H585" s="50" t="s">
        <v>1321</v>
      </c>
    </row>
    <row r="586" spans="1:9" x14ac:dyDescent="0.2">
      <c r="C586" s="195">
        <v>44536</v>
      </c>
      <c r="D586" s="55">
        <v>260</v>
      </c>
      <c r="E586" s="55" t="s">
        <v>1322</v>
      </c>
      <c r="F586" s="55" t="s">
        <v>196</v>
      </c>
      <c r="G586" s="55" t="s">
        <v>645</v>
      </c>
      <c r="H586" s="50" t="s">
        <v>1323</v>
      </c>
    </row>
    <row r="587" spans="1:9" x14ac:dyDescent="0.2">
      <c r="C587" s="195">
        <v>44537</v>
      </c>
      <c r="D587" s="55">
        <v>280</v>
      </c>
      <c r="E587" s="55" t="s">
        <v>1324</v>
      </c>
      <c r="F587" s="55" t="s">
        <v>196</v>
      </c>
      <c r="G587" s="55" t="s">
        <v>361</v>
      </c>
      <c r="H587" s="50" t="s">
        <v>1325</v>
      </c>
    </row>
    <row r="588" spans="1:9" x14ac:dyDescent="0.2">
      <c r="A588" s="57">
        <v>1221</v>
      </c>
      <c r="B588" t="s">
        <v>836</v>
      </c>
      <c r="C588" s="195">
        <v>44550</v>
      </c>
      <c r="D588" s="55">
        <v>280</v>
      </c>
      <c r="E588" s="55" t="s">
        <v>1326</v>
      </c>
      <c r="F588" s="55" t="s">
        <v>192</v>
      </c>
      <c r="G588" s="55" t="s">
        <v>324</v>
      </c>
      <c r="H588" s="50" t="s">
        <v>224</v>
      </c>
      <c r="I588" s="46" t="s">
        <v>837</v>
      </c>
    </row>
    <row r="589" spans="1:9" x14ac:dyDescent="0.2">
      <c r="C589" s="195">
        <v>44550</v>
      </c>
      <c r="D589" s="55">
        <v>280</v>
      </c>
      <c r="E589" s="55" t="s">
        <v>1327</v>
      </c>
      <c r="F589" s="55" t="s">
        <v>272</v>
      </c>
      <c r="G589" s="55" t="s">
        <v>533</v>
      </c>
      <c r="H589" s="50" t="s">
        <v>1328</v>
      </c>
    </row>
    <row r="590" spans="1:9" x14ac:dyDescent="0.2">
      <c r="C590" s="195">
        <v>44533</v>
      </c>
      <c r="D590" s="55">
        <v>260</v>
      </c>
      <c r="E590" s="55" t="s">
        <v>1329</v>
      </c>
      <c r="F590" s="55" t="s">
        <v>244</v>
      </c>
      <c r="G590" s="55" t="s">
        <v>393</v>
      </c>
      <c r="H590" s="50" t="s">
        <v>1330</v>
      </c>
    </row>
    <row r="591" spans="1:9" x14ac:dyDescent="0.2">
      <c r="C591" s="195">
        <v>44536</v>
      </c>
      <c r="D591" s="55">
        <v>260</v>
      </c>
      <c r="E591" s="55" t="s">
        <v>1331</v>
      </c>
      <c r="F591" s="55" t="s">
        <v>267</v>
      </c>
      <c r="G591" s="55" t="s">
        <v>442</v>
      </c>
      <c r="H591" s="50" t="s">
        <v>1332</v>
      </c>
    </row>
    <row r="592" spans="1:9" x14ac:dyDescent="0.2">
      <c r="C592" s="195">
        <v>44536</v>
      </c>
      <c r="D592" s="55">
        <v>280</v>
      </c>
      <c r="E592" s="55" t="s">
        <v>1333</v>
      </c>
      <c r="F592" s="55" t="s">
        <v>263</v>
      </c>
      <c r="G592" s="55" t="s">
        <v>613</v>
      </c>
      <c r="H592" s="50" t="s">
        <v>1334</v>
      </c>
    </row>
    <row r="593" spans="3:8" x14ac:dyDescent="0.2">
      <c r="C593" s="195">
        <v>44551</v>
      </c>
      <c r="D593" s="55">
        <v>280</v>
      </c>
      <c r="E593" s="55" t="s">
        <v>1335</v>
      </c>
      <c r="F593" s="55" t="s">
        <v>244</v>
      </c>
      <c r="G593" s="55" t="s">
        <v>696</v>
      </c>
      <c r="H593" s="50" t="s">
        <v>1336</v>
      </c>
    </row>
    <row r="594" spans="3:8" x14ac:dyDescent="0.2">
      <c r="C594" s="195">
        <v>44536</v>
      </c>
      <c r="D594" s="55">
        <v>280</v>
      </c>
      <c r="E594" s="55" t="s">
        <v>1337</v>
      </c>
      <c r="F594" s="55" t="s">
        <v>263</v>
      </c>
      <c r="G594" s="55" t="s">
        <v>633</v>
      </c>
      <c r="H594" s="50" t="s">
        <v>1338</v>
      </c>
    </row>
    <row r="595" spans="3:8" x14ac:dyDescent="0.2">
      <c r="C595" s="195">
        <v>44544</v>
      </c>
      <c r="D595" s="55">
        <v>260</v>
      </c>
      <c r="E595" s="55" t="s">
        <v>1339</v>
      </c>
      <c r="F595" s="55" t="s">
        <v>210</v>
      </c>
      <c r="G595" s="55" t="s">
        <v>383</v>
      </c>
      <c r="H595" s="50" t="s">
        <v>224</v>
      </c>
    </row>
    <row r="596" spans="3:8" x14ac:dyDescent="0.2">
      <c r="C596" s="195">
        <v>44559</v>
      </c>
      <c r="D596" s="55">
        <v>260</v>
      </c>
      <c r="E596" s="55" t="s">
        <v>1340</v>
      </c>
      <c r="F596" s="55" t="s">
        <v>196</v>
      </c>
      <c r="G596" s="55" t="s">
        <v>361</v>
      </c>
      <c r="H596" s="50" t="s">
        <v>1341</v>
      </c>
    </row>
    <row r="597" spans="3:8" x14ac:dyDescent="0.2">
      <c r="C597" s="195">
        <v>44537</v>
      </c>
      <c r="D597" s="55">
        <v>280</v>
      </c>
      <c r="E597" s="55" t="s">
        <v>1342</v>
      </c>
      <c r="F597" s="55" t="s">
        <v>272</v>
      </c>
      <c r="G597" s="55" t="s">
        <v>273</v>
      </c>
      <c r="H597" s="50" t="s">
        <v>1343</v>
      </c>
    </row>
    <row r="598" spans="3:8" x14ac:dyDescent="0.2">
      <c r="C598" s="195">
        <v>44550</v>
      </c>
      <c r="D598" s="55">
        <v>280</v>
      </c>
      <c r="E598" s="55" t="s">
        <v>1344</v>
      </c>
      <c r="F598" s="55" t="s">
        <v>272</v>
      </c>
      <c r="G598" s="55" t="s">
        <v>366</v>
      </c>
    </row>
    <row r="599" spans="3:8" x14ac:dyDescent="0.2">
      <c r="C599" s="195">
        <v>44545</v>
      </c>
      <c r="D599" s="55">
        <v>260</v>
      </c>
      <c r="E599" s="55" t="s">
        <v>1345</v>
      </c>
      <c r="F599" s="55" t="s">
        <v>192</v>
      </c>
      <c r="G599" s="55" t="s">
        <v>563</v>
      </c>
      <c r="H599" s="50" t="s">
        <v>1346</v>
      </c>
    </row>
    <row r="600" spans="3:8" x14ac:dyDescent="0.2">
      <c r="C600" s="195">
        <v>44536</v>
      </c>
      <c r="D600" s="55">
        <v>260</v>
      </c>
      <c r="E600" s="55" t="s">
        <v>1347</v>
      </c>
      <c r="F600" s="55" t="s">
        <v>202</v>
      </c>
      <c r="G600" s="55" t="s">
        <v>344</v>
      </c>
      <c r="H600" s="50" t="s">
        <v>1348</v>
      </c>
    </row>
    <row r="601" spans="3:8" x14ac:dyDescent="0.2">
      <c r="C601" s="195">
        <v>44544</v>
      </c>
      <c r="D601" s="55">
        <v>260</v>
      </c>
      <c r="E601" s="55" t="s">
        <v>1349</v>
      </c>
      <c r="F601" s="55" t="s">
        <v>210</v>
      </c>
      <c r="G601" s="55" t="s">
        <v>235</v>
      </c>
      <c r="H601" s="50" t="s">
        <v>1350</v>
      </c>
    </row>
    <row r="602" spans="3:8" x14ac:dyDescent="0.2">
      <c r="C602" s="195">
        <v>44546</v>
      </c>
      <c r="D602" s="55">
        <v>280</v>
      </c>
      <c r="E602" s="55" t="s">
        <v>1351</v>
      </c>
      <c r="F602" s="55" t="s">
        <v>231</v>
      </c>
      <c r="G602" s="55" t="s">
        <v>371</v>
      </c>
      <c r="H602" s="50" t="s">
        <v>1352</v>
      </c>
    </row>
    <row r="603" spans="3:8" x14ac:dyDescent="0.2">
      <c r="C603" s="195">
        <v>44545</v>
      </c>
      <c r="D603" s="55">
        <v>260</v>
      </c>
      <c r="E603" s="55" t="s">
        <v>1353</v>
      </c>
      <c r="F603" s="55" t="s">
        <v>219</v>
      </c>
      <c r="G603" s="55" t="s">
        <v>451</v>
      </c>
      <c r="H603" s="50" t="s">
        <v>1354</v>
      </c>
    </row>
    <row r="604" spans="3:8" x14ac:dyDescent="0.2">
      <c r="C604" s="195">
        <v>44536</v>
      </c>
      <c r="D604" s="55">
        <v>280</v>
      </c>
      <c r="E604" s="55" t="s">
        <v>1355</v>
      </c>
      <c r="F604" s="55" t="s">
        <v>244</v>
      </c>
      <c r="G604" s="55" t="s">
        <v>393</v>
      </c>
      <c r="H604" s="50" t="s">
        <v>1356</v>
      </c>
    </row>
    <row r="605" spans="3:8" x14ac:dyDescent="0.2">
      <c r="C605" s="195">
        <v>44531</v>
      </c>
      <c r="D605" s="55">
        <v>280</v>
      </c>
      <c r="E605" s="55" t="s">
        <v>1357</v>
      </c>
      <c r="F605" s="55" t="s">
        <v>231</v>
      </c>
      <c r="G605" s="55" t="s">
        <v>255</v>
      </c>
      <c r="H605" s="50" t="s">
        <v>1358</v>
      </c>
    </row>
    <row r="606" spans="3:8" x14ac:dyDescent="0.2">
      <c r="C606" s="195">
        <v>44560</v>
      </c>
      <c r="D606" s="55">
        <v>280</v>
      </c>
      <c r="E606" s="55" t="s">
        <v>1359</v>
      </c>
      <c r="F606" s="55" t="s">
        <v>263</v>
      </c>
      <c r="G606" s="55" t="s">
        <v>1360</v>
      </c>
      <c r="H606" s="50" t="s">
        <v>1361</v>
      </c>
    </row>
    <row r="607" spans="3:8" x14ac:dyDescent="0.2">
      <c r="C607" s="195">
        <v>44552</v>
      </c>
      <c r="D607" s="55">
        <v>280</v>
      </c>
      <c r="E607" s="55" t="s">
        <v>1362</v>
      </c>
      <c r="F607" s="55" t="s">
        <v>196</v>
      </c>
      <c r="G607" s="55" t="s">
        <v>464</v>
      </c>
      <c r="H607" s="50" t="s">
        <v>1363</v>
      </c>
    </row>
    <row r="608" spans="3:8" x14ac:dyDescent="0.2">
      <c r="C608" s="195">
        <v>44533</v>
      </c>
      <c r="D608" s="55">
        <v>260</v>
      </c>
      <c r="E608" s="55" t="s">
        <v>1364</v>
      </c>
      <c r="F608" s="55" t="s">
        <v>267</v>
      </c>
      <c r="G608" s="55" t="s">
        <v>268</v>
      </c>
      <c r="H608" s="50" t="s">
        <v>1365</v>
      </c>
    </row>
    <row r="609" spans="3:8" x14ac:dyDescent="0.2">
      <c r="C609" s="195">
        <v>44545</v>
      </c>
      <c r="D609" s="55">
        <v>260</v>
      </c>
      <c r="E609" s="55" t="s">
        <v>1366</v>
      </c>
      <c r="F609" s="55" t="s">
        <v>202</v>
      </c>
      <c r="G609" s="55" t="s">
        <v>297</v>
      </c>
      <c r="H609" s="50" t="s">
        <v>1367</v>
      </c>
    </row>
    <row r="610" spans="3:8" x14ac:dyDescent="0.2">
      <c r="C610" s="195">
        <v>44540</v>
      </c>
      <c r="D610" s="55">
        <v>280</v>
      </c>
      <c r="E610" s="55" t="s">
        <v>1368</v>
      </c>
      <c r="F610" s="55" t="s">
        <v>206</v>
      </c>
      <c r="G610" s="55" t="s">
        <v>548</v>
      </c>
      <c r="H610" s="50" t="s">
        <v>1369</v>
      </c>
    </row>
    <row r="611" spans="3:8" x14ac:dyDescent="0.2">
      <c r="C611" s="195">
        <v>44551</v>
      </c>
      <c r="D611" s="55">
        <v>260</v>
      </c>
      <c r="E611" s="55" t="s">
        <v>1370</v>
      </c>
      <c r="F611" s="55" t="s">
        <v>192</v>
      </c>
      <c r="G611" s="55" t="s">
        <v>401</v>
      </c>
      <c r="H611" s="50" t="s">
        <v>1371</v>
      </c>
    </row>
    <row r="612" spans="3:8" x14ac:dyDescent="0.2">
      <c r="C612" s="195">
        <v>44536</v>
      </c>
      <c r="D612" s="55">
        <v>280</v>
      </c>
      <c r="E612" s="55" t="s">
        <v>1372</v>
      </c>
      <c r="F612" s="55" t="s">
        <v>219</v>
      </c>
      <c r="G612" s="55" t="s">
        <v>540</v>
      </c>
      <c r="H612" s="50" t="s">
        <v>1373</v>
      </c>
    </row>
    <row r="613" spans="3:8" x14ac:dyDescent="0.2">
      <c r="C613" s="195">
        <v>44537</v>
      </c>
      <c r="D613" s="55">
        <v>260</v>
      </c>
      <c r="E613" s="55" t="s">
        <v>1374</v>
      </c>
      <c r="F613" s="55" t="s">
        <v>206</v>
      </c>
      <c r="G613" s="55" t="s">
        <v>228</v>
      </c>
      <c r="H613" s="50" t="s">
        <v>1375</v>
      </c>
    </row>
    <row r="614" spans="3:8" x14ac:dyDescent="0.2">
      <c r="C614" s="195">
        <v>44550</v>
      </c>
      <c r="D614" s="55">
        <v>280</v>
      </c>
      <c r="E614" s="55" t="s">
        <v>1376</v>
      </c>
      <c r="F614" s="55" t="s">
        <v>244</v>
      </c>
      <c r="G614" s="55" t="s">
        <v>378</v>
      </c>
      <c r="H614" s="50" t="s">
        <v>1377</v>
      </c>
    </row>
    <row r="615" spans="3:8" x14ac:dyDescent="0.2">
      <c r="C615" s="195">
        <v>44547</v>
      </c>
      <c r="D615" s="55">
        <v>280</v>
      </c>
      <c r="E615" s="55" t="s">
        <v>1378</v>
      </c>
      <c r="F615" s="55" t="s">
        <v>196</v>
      </c>
      <c r="G615" s="55" t="s">
        <v>352</v>
      </c>
      <c r="H615" s="50" t="s">
        <v>1379</v>
      </c>
    </row>
    <row r="616" spans="3:8" x14ac:dyDescent="0.2">
      <c r="C616" s="195">
        <v>44544</v>
      </c>
      <c r="D616" s="55">
        <v>260</v>
      </c>
      <c r="E616" s="55" t="s">
        <v>1380</v>
      </c>
      <c r="F616" s="55" t="s">
        <v>219</v>
      </c>
      <c r="G616" s="55" t="s">
        <v>540</v>
      </c>
      <c r="H616" s="50" t="s">
        <v>1381</v>
      </c>
    </row>
    <row r="617" spans="3:8" x14ac:dyDescent="0.2">
      <c r="C617" s="195">
        <v>44536</v>
      </c>
      <c r="D617" s="55">
        <v>280</v>
      </c>
      <c r="E617" s="55" t="s">
        <v>1382</v>
      </c>
      <c r="F617" s="55" t="s">
        <v>244</v>
      </c>
      <c r="G617" s="55" t="s">
        <v>245</v>
      </c>
      <c r="H617" s="50" t="s">
        <v>224</v>
      </c>
    </row>
    <row r="618" spans="3:8" x14ac:dyDescent="0.2">
      <c r="C618" s="195">
        <v>44540</v>
      </c>
      <c r="D618" s="55">
        <v>260</v>
      </c>
      <c r="E618" s="55" t="s">
        <v>1383</v>
      </c>
      <c r="F618" s="55" t="s">
        <v>196</v>
      </c>
      <c r="G618" s="55" t="s">
        <v>415</v>
      </c>
      <c r="H618" s="50" t="s">
        <v>1384</v>
      </c>
    </row>
    <row r="619" spans="3:8" x14ac:dyDescent="0.2">
      <c r="C619" s="195">
        <v>44543</v>
      </c>
      <c r="D619" s="55">
        <v>280</v>
      </c>
      <c r="E619" s="55" t="s">
        <v>1385</v>
      </c>
      <c r="F619" s="55" t="s">
        <v>272</v>
      </c>
      <c r="G619" s="55" t="s">
        <v>366</v>
      </c>
      <c r="H619" s="50" t="s">
        <v>1386</v>
      </c>
    </row>
    <row r="620" spans="3:8" x14ac:dyDescent="0.2">
      <c r="C620" s="195">
        <v>44538</v>
      </c>
      <c r="D620" s="55">
        <v>280</v>
      </c>
      <c r="E620" s="55" t="s">
        <v>1387</v>
      </c>
      <c r="F620" s="55" t="s">
        <v>202</v>
      </c>
      <c r="G620" s="55" t="s">
        <v>341</v>
      </c>
      <c r="H620" s="50" t="s">
        <v>1388</v>
      </c>
    </row>
    <row r="621" spans="3:8" x14ac:dyDescent="0.2">
      <c r="C621" s="195">
        <v>44546</v>
      </c>
      <c r="D621" s="55">
        <v>260</v>
      </c>
      <c r="E621" s="55" t="s">
        <v>1389</v>
      </c>
      <c r="F621" s="55" t="s">
        <v>202</v>
      </c>
      <c r="G621" s="55" t="s">
        <v>341</v>
      </c>
      <c r="H621" s="50" t="s">
        <v>224</v>
      </c>
    </row>
    <row r="622" spans="3:8" x14ac:dyDescent="0.2">
      <c r="C622" s="195">
        <v>44560</v>
      </c>
      <c r="D622" s="55">
        <v>260</v>
      </c>
      <c r="E622" s="55" t="s">
        <v>1390</v>
      </c>
      <c r="F622" s="55" t="s">
        <v>210</v>
      </c>
      <c r="G622" s="55" t="s">
        <v>306</v>
      </c>
      <c r="H622" s="50" t="s">
        <v>1391</v>
      </c>
    </row>
    <row r="623" spans="3:8" x14ac:dyDescent="0.2">
      <c r="C623" s="195">
        <v>44559</v>
      </c>
      <c r="D623" s="55">
        <v>280</v>
      </c>
      <c r="E623" s="55" t="s">
        <v>1392</v>
      </c>
      <c r="F623" s="55" t="s">
        <v>263</v>
      </c>
      <c r="G623" s="55" t="s">
        <v>613</v>
      </c>
      <c r="H623" s="50" t="s">
        <v>224</v>
      </c>
    </row>
    <row r="624" spans="3:8" x14ac:dyDescent="0.2">
      <c r="C624" s="195">
        <v>44531</v>
      </c>
      <c r="D624" s="55">
        <v>260</v>
      </c>
      <c r="E624" s="55" t="s">
        <v>1393</v>
      </c>
      <c r="F624" s="55" t="s">
        <v>219</v>
      </c>
      <c r="G624" s="55" t="s">
        <v>220</v>
      </c>
      <c r="H624" s="50" t="s">
        <v>1394</v>
      </c>
    </row>
    <row r="625" spans="3:8" x14ac:dyDescent="0.2">
      <c r="C625" s="195">
        <v>44538</v>
      </c>
      <c r="D625" s="55">
        <v>280</v>
      </c>
      <c r="E625" s="55" t="s">
        <v>1395</v>
      </c>
      <c r="F625" s="55" t="s">
        <v>206</v>
      </c>
      <c r="G625" s="55" t="s">
        <v>676</v>
      </c>
      <c r="H625" s="50" t="s">
        <v>1396</v>
      </c>
    </row>
    <row r="626" spans="3:8" x14ac:dyDescent="0.2">
      <c r="C626" s="195">
        <v>44538</v>
      </c>
      <c r="D626" s="55">
        <v>260</v>
      </c>
      <c r="E626" s="55" t="s">
        <v>1397</v>
      </c>
      <c r="F626" s="55" t="s">
        <v>231</v>
      </c>
      <c r="G626" s="55" t="s">
        <v>421</v>
      </c>
      <c r="H626" s="50" t="s">
        <v>1398</v>
      </c>
    </row>
    <row r="627" spans="3:8" x14ac:dyDescent="0.2">
      <c r="C627" s="195">
        <v>44550</v>
      </c>
      <c r="D627" s="55">
        <v>260</v>
      </c>
      <c r="E627" s="55" t="s">
        <v>1399</v>
      </c>
      <c r="F627" s="55" t="s">
        <v>196</v>
      </c>
      <c r="G627" s="55" t="s">
        <v>361</v>
      </c>
      <c r="H627" s="50" t="s">
        <v>1400</v>
      </c>
    </row>
    <row r="628" spans="3:8" x14ac:dyDescent="0.2">
      <c r="C628" s="195">
        <v>44551</v>
      </c>
      <c r="D628" s="55">
        <v>280</v>
      </c>
      <c r="E628" s="55" t="s">
        <v>1401</v>
      </c>
      <c r="F628" s="55" t="s">
        <v>196</v>
      </c>
      <c r="G628" s="55" t="s">
        <v>464</v>
      </c>
      <c r="H628" s="50" t="s">
        <v>1402</v>
      </c>
    </row>
    <row r="629" spans="3:8" x14ac:dyDescent="0.2">
      <c r="C629" s="195">
        <v>44536</v>
      </c>
      <c r="D629" s="55">
        <v>260</v>
      </c>
      <c r="E629" s="55" t="s">
        <v>1403</v>
      </c>
      <c r="F629" s="55" t="s">
        <v>206</v>
      </c>
      <c r="G629" s="55" t="s">
        <v>568</v>
      </c>
      <c r="H629" s="50" t="s">
        <v>1404</v>
      </c>
    </row>
    <row r="630" spans="3:8" x14ac:dyDescent="0.2">
      <c r="C630" s="195">
        <v>44532</v>
      </c>
      <c r="D630" s="55">
        <v>280</v>
      </c>
      <c r="E630" s="55" t="s">
        <v>1405</v>
      </c>
      <c r="F630" s="55" t="s">
        <v>196</v>
      </c>
      <c r="G630" s="55" t="s">
        <v>645</v>
      </c>
      <c r="H630" s="50" t="s">
        <v>1406</v>
      </c>
    </row>
    <row r="631" spans="3:8" x14ac:dyDescent="0.2">
      <c r="C631" s="195">
        <v>44550</v>
      </c>
      <c r="D631" s="55">
        <v>260</v>
      </c>
      <c r="E631" s="55" t="s">
        <v>1407</v>
      </c>
      <c r="F631" s="55" t="s">
        <v>202</v>
      </c>
      <c r="G631" s="55" t="s">
        <v>344</v>
      </c>
      <c r="H631" s="50" t="s">
        <v>224</v>
      </c>
    </row>
    <row r="632" spans="3:8" x14ac:dyDescent="0.2">
      <c r="C632" s="195">
        <v>44558</v>
      </c>
      <c r="D632" s="55">
        <v>260</v>
      </c>
      <c r="E632" s="55" t="s">
        <v>1408</v>
      </c>
      <c r="F632" s="55" t="s">
        <v>390</v>
      </c>
      <c r="G632" s="55" t="s">
        <v>590</v>
      </c>
      <c r="H632" s="50" t="s">
        <v>1409</v>
      </c>
    </row>
    <row r="633" spans="3:8" x14ac:dyDescent="0.2">
      <c r="C633" s="195">
        <v>44550</v>
      </c>
      <c r="D633" s="55">
        <v>280</v>
      </c>
      <c r="E633" s="55" t="s">
        <v>1410</v>
      </c>
      <c r="F633" s="55" t="s">
        <v>231</v>
      </c>
      <c r="G633" s="55" t="s">
        <v>482</v>
      </c>
      <c r="H633" s="50" t="s">
        <v>1411</v>
      </c>
    </row>
    <row r="634" spans="3:8" x14ac:dyDescent="0.2">
      <c r="C634" s="195">
        <v>44536</v>
      </c>
      <c r="D634" s="55">
        <v>260</v>
      </c>
      <c r="E634" s="55" t="s">
        <v>1412</v>
      </c>
      <c r="F634" s="55" t="s">
        <v>219</v>
      </c>
      <c r="G634" s="55" t="s">
        <v>540</v>
      </c>
      <c r="H634" s="50" t="s">
        <v>1413</v>
      </c>
    </row>
    <row r="635" spans="3:8" x14ac:dyDescent="0.2">
      <c r="C635" s="195">
        <v>44551</v>
      </c>
      <c r="D635" s="55">
        <v>280</v>
      </c>
      <c r="E635" s="55" t="s">
        <v>1414</v>
      </c>
      <c r="F635" s="55" t="s">
        <v>263</v>
      </c>
      <c r="G635" s="55" t="s">
        <v>413</v>
      </c>
      <c r="H635" s="50" t="s">
        <v>1415</v>
      </c>
    </row>
    <row r="636" spans="3:8" x14ac:dyDescent="0.2">
      <c r="C636" s="195">
        <v>44536</v>
      </c>
      <c r="D636" s="55">
        <v>280</v>
      </c>
      <c r="E636" s="55" t="s">
        <v>1416</v>
      </c>
      <c r="F636" s="55" t="s">
        <v>196</v>
      </c>
      <c r="G636" s="55" t="s">
        <v>645</v>
      </c>
      <c r="H636" s="50" t="s">
        <v>1417</v>
      </c>
    </row>
    <row r="637" spans="3:8" x14ac:dyDescent="0.2">
      <c r="C637" s="195">
        <v>44545</v>
      </c>
      <c r="D637" s="55">
        <v>280</v>
      </c>
      <c r="E637" s="55" t="s">
        <v>1418</v>
      </c>
      <c r="F637" s="55" t="s">
        <v>219</v>
      </c>
      <c r="G637" s="55" t="s">
        <v>220</v>
      </c>
      <c r="H637" s="50" t="s">
        <v>224</v>
      </c>
    </row>
    <row r="638" spans="3:8" x14ac:dyDescent="0.2">
      <c r="C638" s="195">
        <v>44540</v>
      </c>
      <c r="D638" s="55">
        <v>280</v>
      </c>
      <c r="E638" s="55" t="s">
        <v>1419</v>
      </c>
      <c r="F638" s="55" t="s">
        <v>210</v>
      </c>
      <c r="G638" s="55" t="s">
        <v>306</v>
      </c>
      <c r="H638" s="50" t="s">
        <v>1420</v>
      </c>
    </row>
    <row r="639" spans="3:8" x14ac:dyDescent="0.2">
      <c r="C639" s="195">
        <v>44540</v>
      </c>
      <c r="D639" s="55">
        <v>260</v>
      </c>
      <c r="E639" s="55" t="s">
        <v>1421</v>
      </c>
      <c r="F639" s="55" t="s">
        <v>196</v>
      </c>
      <c r="G639" s="55" t="s">
        <v>415</v>
      </c>
      <c r="H639" s="50" t="s">
        <v>1422</v>
      </c>
    </row>
    <row r="640" spans="3:8" x14ac:dyDescent="0.2">
      <c r="C640" s="195">
        <v>44550</v>
      </c>
      <c r="D640" s="55">
        <v>280</v>
      </c>
      <c r="E640" s="55" t="s">
        <v>1423</v>
      </c>
      <c r="F640" s="55" t="s">
        <v>192</v>
      </c>
      <c r="G640" s="55" t="s">
        <v>453</v>
      </c>
      <c r="H640" s="50" t="s">
        <v>1424</v>
      </c>
    </row>
    <row r="641" spans="3:8" x14ac:dyDescent="0.2">
      <c r="C641" s="195">
        <v>44560</v>
      </c>
      <c r="D641" s="55">
        <v>260</v>
      </c>
      <c r="E641" s="55" t="s">
        <v>1425</v>
      </c>
      <c r="F641" s="55" t="s">
        <v>291</v>
      </c>
      <c r="G641" s="55" t="s">
        <v>819</v>
      </c>
      <c r="H641" s="50" t="s">
        <v>1426</v>
      </c>
    </row>
    <row r="642" spans="3:8" x14ac:dyDescent="0.2">
      <c r="C642" s="195">
        <v>44558</v>
      </c>
      <c r="D642" s="55">
        <v>260</v>
      </c>
      <c r="E642" s="55" t="s">
        <v>1427</v>
      </c>
      <c r="F642" s="55" t="s">
        <v>390</v>
      </c>
      <c r="G642" s="55" t="s">
        <v>671</v>
      </c>
      <c r="H642" s="50" t="s">
        <v>1428</v>
      </c>
    </row>
    <row r="643" spans="3:8" x14ac:dyDescent="0.2">
      <c r="C643" s="195">
        <v>44533</v>
      </c>
      <c r="D643" s="55">
        <v>260</v>
      </c>
      <c r="E643" s="55" t="s">
        <v>1429</v>
      </c>
      <c r="F643" s="55" t="s">
        <v>263</v>
      </c>
      <c r="G643" s="55" t="s">
        <v>426</v>
      </c>
    </row>
    <row r="644" spans="3:8" x14ac:dyDescent="0.2">
      <c r="C644" s="195">
        <v>44558</v>
      </c>
      <c r="D644" s="55">
        <v>280</v>
      </c>
      <c r="E644" s="55" t="s">
        <v>1430</v>
      </c>
      <c r="F644" s="55" t="s">
        <v>231</v>
      </c>
      <c r="G644" s="55" t="s">
        <v>232</v>
      </c>
      <c r="H644" s="50" t="s">
        <v>224</v>
      </c>
    </row>
    <row r="645" spans="3:8" x14ac:dyDescent="0.2">
      <c r="C645" s="195">
        <v>44558</v>
      </c>
      <c r="D645" s="55">
        <v>280</v>
      </c>
      <c r="E645" s="55" t="s">
        <v>1431</v>
      </c>
      <c r="F645" s="55" t="s">
        <v>291</v>
      </c>
      <c r="G645" s="55" t="s">
        <v>819</v>
      </c>
      <c r="H645" s="50" t="s">
        <v>1432</v>
      </c>
    </row>
    <row r="646" spans="3:8" x14ac:dyDescent="0.2">
      <c r="C646" s="195">
        <v>44551</v>
      </c>
      <c r="D646" s="55">
        <v>260</v>
      </c>
      <c r="E646" s="55" t="s">
        <v>1433</v>
      </c>
      <c r="F646" s="55" t="s">
        <v>192</v>
      </c>
      <c r="G646" s="55" t="s">
        <v>401</v>
      </c>
      <c r="H646" s="50" t="s">
        <v>1271</v>
      </c>
    </row>
    <row r="647" spans="3:8" x14ac:dyDescent="0.2">
      <c r="C647" s="195">
        <v>44560</v>
      </c>
      <c r="D647" s="55">
        <v>280</v>
      </c>
      <c r="E647" s="55" t="s">
        <v>1434</v>
      </c>
      <c r="F647" s="55" t="s">
        <v>263</v>
      </c>
      <c r="G647" s="55" t="s">
        <v>1435</v>
      </c>
      <c r="H647" s="50" t="s">
        <v>1436</v>
      </c>
    </row>
    <row r="648" spans="3:8" x14ac:dyDescent="0.2">
      <c r="C648" s="195">
        <v>44551</v>
      </c>
      <c r="D648" s="55">
        <v>260</v>
      </c>
      <c r="E648" s="55" t="s">
        <v>1437</v>
      </c>
      <c r="F648" s="55" t="s">
        <v>231</v>
      </c>
      <c r="G648" s="55" t="s">
        <v>782</v>
      </c>
      <c r="H648" s="50" t="s">
        <v>1438</v>
      </c>
    </row>
    <row r="649" spans="3:8" x14ac:dyDescent="0.2">
      <c r="C649" s="195">
        <v>44533</v>
      </c>
      <c r="D649" s="55">
        <v>260</v>
      </c>
      <c r="E649" s="55" t="s">
        <v>1439</v>
      </c>
      <c r="F649" s="55" t="s">
        <v>244</v>
      </c>
      <c r="G649" s="55" t="s">
        <v>393</v>
      </c>
      <c r="H649" s="50" t="s">
        <v>1440</v>
      </c>
    </row>
    <row r="650" spans="3:8" x14ac:dyDescent="0.2">
      <c r="C650" s="195">
        <v>44552</v>
      </c>
      <c r="D650" s="55">
        <v>260</v>
      </c>
      <c r="E650" s="55" t="s">
        <v>1441</v>
      </c>
      <c r="F650" s="55" t="s">
        <v>231</v>
      </c>
      <c r="G650" s="55" t="s">
        <v>435</v>
      </c>
      <c r="H650" s="50" t="s">
        <v>1442</v>
      </c>
    </row>
    <row r="651" spans="3:8" x14ac:dyDescent="0.2">
      <c r="C651" s="195">
        <v>44539</v>
      </c>
      <c r="D651" s="55">
        <v>280</v>
      </c>
      <c r="E651" s="55" t="s">
        <v>1443</v>
      </c>
      <c r="F651" s="55" t="s">
        <v>196</v>
      </c>
      <c r="G651" s="55" t="s">
        <v>352</v>
      </c>
      <c r="H651" s="50" t="s">
        <v>1444</v>
      </c>
    </row>
    <row r="652" spans="3:8" x14ac:dyDescent="0.2">
      <c r="C652" s="195">
        <v>44559</v>
      </c>
      <c r="D652" s="55">
        <v>280</v>
      </c>
      <c r="E652" s="55" t="s">
        <v>1445</v>
      </c>
      <c r="F652" s="55" t="s">
        <v>390</v>
      </c>
      <c r="G652" s="55" t="s">
        <v>1446</v>
      </c>
      <c r="H652" s="50" t="s">
        <v>1447</v>
      </c>
    </row>
    <row r="653" spans="3:8" x14ac:dyDescent="0.2">
      <c r="C653" s="195">
        <v>44546</v>
      </c>
      <c r="D653" s="55">
        <v>280</v>
      </c>
      <c r="E653" s="55" t="s">
        <v>1448</v>
      </c>
      <c r="F653" s="55" t="s">
        <v>291</v>
      </c>
      <c r="G653" s="55" t="s">
        <v>819</v>
      </c>
      <c r="H653" s="50" t="s">
        <v>1449</v>
      </c>
    </row>
    <row r="654" spans="3:8" x14ac:dyDescent="0.2">
      <c r="C654" s="195">
        <v>44543</v>
      </c>
      <c r="D654" s="55">
        <v>280</v>
      </c>
      <c r="E654" s="55" t="s">
        <v>1450</v>
      </c>
      <c r="F654" s="55" t="s">
        <v>267</v>
      </c>
      <c r="G654" s="55" t="s">
        <v>268</v>
      </c>
      <c r="H654" s="50" t="s">
        <v>224</v>
      </c>
    </row>
    <row r="655" spans="3:8" x14ac:dyDescent="0.2">
      <c r="C655" s="195">
        <v>44533</v>
      </c>
      <c r="D655" s="55">
        <v>260</v>
      </c>
      <c r="E655" s="55" t="s">
        <v>1451</v>
      </c>
      <c r="F655" s="55" t="s">
        <v>231</v>
      </c>
      <c r="G655" s="55" t="s">
        <v>648</v>
      </c>
      <c r="H655" s="50" t="s">
        <v>1452</v>
      </c>
    </row>
    <row r="656" spans="3:8" x14ac:dyDescent="0.2">
      <c r="C656" s="195">
        <v>44531</v>
      </c>
      <c r="D656" s="55">
        <v>280</v>
      </c>
      <c r="E656" s="55" t="s">
        <v>1453</v>
      </c>
      <c r="F656" s="55" t="s">
        <v>219</v>
      </c>
      <c r="G656" s="55" t="s">
        <v>916</v>
      </c>
      <c r="H656" s="50" t="s">
        <v>1454</v>
      </c>
    </row>
    <row r="657" spans="3:8" x14ac:dyDescent="0.2">
      <c r="C657" s="195">
        <v>44547</v>
      </c>
      <c r="D657" s="55">
        <v>280</v>
      </c>
      <c r="E657" s="55" t="s">
        <v>1455</v>
      </c>
      <c r="F657" s="55" t="s">
        <v>291</v>
      </c>
      <c r="G657" s="55" t="s">
        <v>819</v>
      </c>
    </row>
    <row r="658" spans="3:8" x14ac:dyDescent="0.2">
      <c r="C658" s="195">
        <v>44545</v>
      </c>
      <c r="D658" s="55">
        <v>280</v>
      </c>
      <c r="E658" s="55" t="s">
        <v>1456</v>
      </c>
      <c r="F658" s="55" t="s">
        <v>390</v>
      </c>
      <c r="G658" s="55" t="s">
        <v>1446</v>
      </c>
      <c r="H658" s="50" t="s">
        <v>224</v>
      </c>
    </row>
    <row r="659" spans="3:8" x14ac:dyDescent="0.2">
      <c r="C659" s="195">
        <v>44545</v>
      </c>
      <c r="D659" s="55">
        <v>260</v>
      </c>
      <c r="E659" s="55" t="s">
        <v>1457</v>
      </c>
      <c r="F659" s="55" t="s">
        <v>192</v>
      </c>
      <c r="G659" s="55" t="s">
        <v>401</v>
      </c>
      <c r="H659" s="50" t="s">
        <v>1458</v>
      </c>
    </row>
    <row r="660" spans="3:8" x14ac:dyDescent="0.2">
      <c r="C660" s="195">
        <v>44531</v>
      </c>
      <c r="D660" s="55">
        <v>260</v>
      </c>
      <c r="E660" s="55" t="s">
        <v>1459</v>
      </c>
      <c r="F660" s="55" t="s">
        <v>219</v>
      </c>
      <c r="G660" s="55" t="s">
        <v>540</v>
      </c>
      <c r="H660" s="50" t="s">
        <v>1460</v>
      </c>
    </row>
    <row r="661" spans="3:8" x14ac:dyDescent="0.2">
      <c r="C661" s="195">
        <v>44544</v>
      </c>
      <c r="D661" s="55">
        <v>260</v>
      </c>
      <c r="E661" s="55" t="s">
        <v>1461</v>
      </c>
      <c r="F661" s="55" t="s">
        <v>231</v>
      </c>
      <c r="G661" s="55" t="s">
        <v>435</v>
      </c>
      <c r="H661" s="50" t="s">
        <v>1462</v>
      </c>
    </row>
    <row r="662" spans="3:8" x14ac:dyDescent="0.2">
      <c r="C662" s="195">
        <v>44559</v>
      </c>
      <c r="D662" s="55">
        <v>260</v>
      </c>
      <c r="E662" s="55" t="s">
        <v>1463</v>
      </c>
      <c r="F662" s="55" t="s">
        <v>206</v>
      </c>
      <c r="G662" s="55" t="s">
        <v>228</v>
      </c>
      <c r="H662" s="50" t="s">
        <v>1464</v>
      </c>
    </row>
    <row r="663" spans="3:8" x14ac:dyDescent="0.2">
      <c r="C663" s="195">
        <v>44532</v>
      </c>
      <c r="D663" s="55">
        <v>260</v>
      </c>
      <c r="E663" s="55" t="s">
        <v>1465</v>
      </c>
      <c r="F663" s="55" t="s">
        <v>272</v>
      </c>
      <c r="G663" s="55" t="s">
        <v>366</v>
      </c>
      <c r="H663" s="50" t="s">
        <v>1466</v>
      </c>
    </row>
    <row r="664" spans="3:8" x14ac:dyDescent="0.2">
      <c r="C664" s="195">
        <v>44546</v>
      </c>
      <c r="D664" s="55">
        <v>280</v>
      </c>
      <c r="E664" s="55" t="s">
        <v>1467</v>
      </c>
      <c r="F664" s="55" t="s">
        <v>244</v>
      </c>
      <c r="G664" s="55" t="s">
        <v>1468</v>
      </c>
      <c r="H664" s="50" t="s">
        <v>1469</v>
      </c>
    </row>
    <row r="665" spans="3:8" x14ac:dyDescent="0.2">
      <c r="C665" s="195">
        <v>44544</v>
      </c>
      <c r="D665" s="55">
        <v>280</v>
      </c>
      <c r="E665" s="55" t="s">
        <v>1470</v>
      </c>
      <c r="F665" s="55" t="s">
        <v>210</v>
      </c>
      <c r="G665" s="55" t="s">
        <v>383</v>
      </c>
      <c r="H665" s="50" t="s">
        <v>224</v>
      </c>
    </row>
    <row r="666" spans="3:8" x14ac:dyDescent="0.2">
      <c r="C666" s="195">
        <v>44544</v>
      </c>
      <c r="D666" s="55">
        <v>260</v>
      </c>
      <c r="E666" s="55" t="s">
        <v>1471</v>
      </c>
      <c r="F666" s="55" t="s">
        <v>210</v>
      </c>
      <c r="G666" s="55" t="s">
        <v>883</v>
      </c>
      <c r="H666" s="50" t="s">
        <v>1472</v>
      </c>
    </row>
    <row r="667" spans="3:8" x14ac:dyDescent="0.2">
      <c r="C667" s="195">
        <v>44543</v>
      </c>
      <c r="D667" s="55">
        <v>260</v>
      </c>
      <c r="E667" s="55" t="s">
        <v>1473</v>
      </c>
      <c r="F667" s="55" t="s">
        <v>267</v>
      </c>
      <c r="G667" s="55" t="s">
        <v>268</v>
      </c>
      <c r="H667" s="50" t="s">
        <v>1474</v>
      </c>
    </row>
    <row r="668" spans="3:8" x14ac:dyDescent="0.2">
      <c r="C668" s="195">
        <v>44557</v>
      </c>
      <c r="D668" s="55">
        <v>260</v>
      </c>
      <c r="E668" s="55" t="s">
        <v>1475</v>
      </c>
      <c r="F668" s="55" t="s">
        <v>202</v>
      </c>
      <c r="G668" s="55" t="s">
        <v>297</v>
      </c>
      <c r="H668" s="50" t="s">
        <v>1476</v>
      </c>
    </row>
    <row r="669" spans="3:8" x14ac:dyDescent="0.2">
      <c r="C669" s="195">
        <v>44532</v>
      </c>
      <c r="D669" s="55">
        <v>260</v>
      </c>
      <c r="E669" s="55" t="s">
        <v>1477</v>
      </c>
      <c r="F669" s="55" t="s">
        <v>244</v>
      </c>
      <c r="G669" s="55" t="s">
        <v>696</v>
      </c>
      <c r="H669" s="50" t="s">
        <v>224</v>
      </c>
    </row>
    <row r="670" spans="3:8" x14ac:dyDescent="0.2">
      <c r="C670" s="195">
        <v>44546</v>
      </c>
      <c r="D670" s="55">
        <v>260</v>
      </c>
      <c r="E670" s="55" t="s">
        <v>1478</v>
      </c>
      <c r="F670" s="55" t="s">
        <v>202</v>
      </c>
      <c r="G670" s="55" t="s">
        <v>297</v>
      </c>
      <c r="H670" s="50" t="s">
        <v>1479</v>
      </c>
    </row>
    <row r="671" spans="3:8" x14ac:dyDescent="0.2">
      <c r="C671" s="195">
        <v>44552</v>
      </c>
      <c r="D671" s="55">
        <v>280</v>
      </c>
      <c r="E671" s="55" t="s">
        <v>1480</v>
      </c>
      <c r="F671" s="55" t="s">
        <v>210</v>
      </c>
      <c r="G671" s="55" t="s">
        <v>418</v>
      </c>
      <c r="H671" s="50" t="s">
        <v>1481</v>
      </c>
    </row>
    <row r="672" spans="3:8" x14ac:dyDescent="0.2">
      <c r="C672" s="195">
        <v>44560</v>
      </c>
      <c r="D672" s="55">
        <v>260</v>
      </c>
      <c r="E672" s="55" t="s">
        <v>1482</v>
      </c>
      <c r="F672" s="55" t="s">
        <v>272</v>
      </c>
      <c r="G672" s="55" t="s">
        <v>273</v>
      </c>
    </row>
    <row r="673" spans="1:9" x14ac:dyDescent="0.2">
      <c r="C673" s="195">
        <v>44532</v>
      </c>
      <c r="D673" s="55">
        <v>260</v>
      </c>
      <c r="E673" s="55" t="s">
        <v>1483</v>
      </c>
      <c r="F673" s="55" t="s">
        <v>244</v>
      </c>
      <c r="G673" s="55" t="s">
        <v>260</v>
      </c>
      <c r="H673" s="50" t="s">
        <v>1484</v>
      </c>
    </row>
    <row r="674" spans="1:9" x14ac:dyDescent="0.2">
      <c r="C674" s="195">
        <v>44539</v>
      </c>
      <c r="D674" s="55">
        <v>260</v>
      </c>
      <c r="E674" s="55" t="s">
        <v>1485</v>
      </c>
      <c r="F674" s="55" t="s">
        <v>267</v>
      </c>
      <c r="G674" s="55" t="s">
        <v>331</v>
      </c>
      <c r="H674" s="50" t="s">
        <v>1486</v>
      </c>
    </row>
    <row r="675" spans="1:9" x14ac:dyDescent="0.2">
      <c r="A675" s="57">
        <v>1221</v>
      </c>
      <c r="B675" t="s">
        <v>836</v>
      </c>
      <c r="C675" s="195">
        <v>44536</v>
      </c>
      <c r="D675" s="55">
        <v>280</v>
      </c>
      <c r="E675" s="55" t="s">
        <v>1487</v>
      </c>
      <c r="F675" s="55" t="s">
        <v>196</v>
      </c>
      <c r="G675" s="55" t="s">
        <v>415</v>
      </c>
      <c r="H675" s="50" t="s">
        <v>1488</v>
      </c>
      <c r="I675" s="46" t="s">
        <v>837</v>
      </c>
    </row>
    <row r="676" spans="1:9" x14ac:dyDescent="0.2">
      <c r="C676" s="195">
        <v>44545</v>
      </c>
      <c r="D676" s="55">
        <v>260</v>
      </c>
      <c r="E676" s="55" t="s">
        <v>1489</v>
      </c>
      <c r="F676" s="55" t="s">
        <v>192</v>
      </c>
      <c r="G676" s="55" t="s">
        <v>563</v>
      </c>
      <c r="H676" s="50" t="s">
        <v>1490</v>
      </c>
    </row>
    <row r="677" spans="1:9" x14ac:dyDescent="0.2">
      <c r="C677" s="195">
        <v>44531</v>
      </c>
      <c r="D677" s="55">
        <v>260</v>
      </c>
      <c r="E677" s="55" t="s">
        <v>1491</v>
      </c>
      <c r="F677" s="55" t="s">
        <v>263</v>
      </c>
      <c r="G677" s="55" t="s">
        <v>1005</v>
      </c>
      <c r="H677" s="50" t="s">
        <v>1492</v>
      </c>
    </row>
    <row r="678" spans="1:9" x14ac:dyDescent="0.2">
      <c r="C678" s="195">
        <v>44537</v>
      </c>
      <c r="D678" s="55">
        <v>260</v>
      </c>
      <c r="E678" s="55" t="s">
        <v>1493</v>
      </c>
      <c r="F678" s="55" t="s">
        <v>192</v>
      </c>
      <c r="G678" s="55" t="s">
        <v>453</v>
      </c>
      <c r="H678" s="50" t="s">
        <v>1494</v>
      </c>
    </row>
    <row r="679" spans="1:9" x14ac:dyDescent="0.2">
      <c r="C679" s="195">
        <v>44545</v>
      </c>
      <c r="D679" s="55">
        <v>260</v>
      </c>
      <c r="E679" s="55" t="s">
        <v>1495</v>
      </c>
      <c r="F679" s="55" t="s">
        <v>202</v>
      </c>
      <c r="G679" s="55" t="s">
        <v>344</v>
      </c>
      <c r="H679" s="50" t="s">
        <v>1496</v>
      </c>
    </row>
    <row r="680" spans="1:9" x14ac:dyDescent="0.2">
      <c r="C680" s="195">
        <v>44558</v>
      </c>
      <c r="D680" s="55">
        <v>280</v>
      </c>
      <c r="E680" s="55" t="s">
        <v>1497</v>
      </c>
      <c r="F680" s="55" t="s">
        <v>231</v>
      </c>
      <c r="G680" s="55" t="s">
        <v>232</v>
      </c>
      <c r="H680" s="50" t="s">
        <v>224</v>
      </c>
    </row>
    <row r="681" spans="1:9" x14ac:dyDescent="0.2">
      <c r="C681" s="195">
        <v>44560</v>
      </c>
      <c r="D681" s="55">
        <v>280</v>
      </c>
      <c r="E681" s="55" t="s">
        <v>1498</v>
      </c>
      <c r="F681" s="55" t="s">
        <v>291</v>
      </c>
      <c r="G681" s="55" t="s">
        <v>643</v>
      </c>
    </row>
    <row r="682" spans="1:9" x14ac:dyDescent="0.2">
      <c r="C682" s="195">
        <v>44557</v>
      </c>
      <c r="D682" s="55">
        <v>280</v>
      </c>
      <c r="E682" s="55" t="s">
        <v>1499</v>
      </c>
      <c r="F682" s="55" t="s">
        <v>244</v>
      </c>
      <c r="G682" s="55" t="s">
        <v>245</v>
      </c>
      <c r="H682" s="50" t="s">
        <v>1500</v>
      </c>
    </row>
    <row r="683" spans="1:9" x14ac:dyDescent="0.2">
      <c r="C683" s="195">
        <v>44545</v>
      </c>
      <c r="D683" s="55">
        <v>280</v>
      </c>
      <c r="E683" s="55" t="s">
        <v>1501</v>
      </c>
      <c r="F683" s="55" t="s">
        <v>291</v>
      </c>
      <c r="G683" s="55" t="s">
        <v>480</v>
      </c>
      <c r="H683" s="50" t="s">
        <v>1502</v>
      </c>
    </row>
    <row r="684" spans="1:9" x14ac:dyDescent="0.2">
      <c r="C684" s="195">
        <v>44558</v>
      </c>
      <c r="D684" s="55">
        <v>260</v>
      </c>
      <c r="E684" s="55" t="s">
        <v>1503</v>
      </c>
      <c r="F684" s="55" t="s">
        <v>196</v>
      </c>
      <c r="G684" s="55" t="s">
        <v>557</v>
      </c>
      <c r="H684" s="50" t="s">
        <v>1504</v>
      </c>
    </row>
    <row r="685" spans="1:9" x14ac:dyDescent="0.2">
      <c r="C685" s="195">
        <v>44536</v>
      </c>
      <c r="D685" s="55">
        <v>280</v>
      </c>
      <c r="E685" s="55" t="s">
        <v>1505</v>
      </c>
      <c r="F685" s="55" t="s">
        <v>206</v>
      </c>
      <c r="G685" s="55" t="s">
        <v>568</v>
      </c>
      <c r="H685" s="50" t="s">
        <v>1506</v>
      </c>
    </row>
    <row r="686" spans="1:9" x14ac:dyDescent="0.2">
      <c r="C686" s="195">
        <v>44536</v>
      </c>
      <c r="D686" s="55">
        <v>280</v>
      </c>
      <c r="E686" s="55" t="s">
        <v>1507</v>
      </c>
      <c r="F686" s="55" t="s">
        <v>206</v>
      </c>
      <c r="G686" s="55" t="s">
        <v>568</v>
      </c>
      <c r="H686" s="50" t="s">
        <v>1508</v>
      </c>
    </row>
    <row r="687" spans="1:9" x14ac:dyDescent="0.2">
      <c r="A687" s="57">
        <v>1221</v>
      </c>
      <c r="B687" t="s">
        <v>836</v>
      </c>
      <c r="C687" s="195">
        <v>44552</v>
      </c>
      <c r="D687" s="55">
        <v>280</v>
      </c>
      <c r="E687" s="55" t="s">
        <v>1509</v>
      </c>
      <c r="F687" s="55" t="s">
        <v>267</v>
      </c>
      <c r="G687" s="55" t="s">
        <v>708</v>
      </c>
      <c r="H687" s="50" t="s">
        <v>224</v>
      </c>
      <c r="I687" s="46" t="s">
        <v>837</v>
      </c>
    </row>
    <row r="688" spans="1:9" x14ac:dyDescent="0.2">
      <c r="C688" s="195">
        <v>44531</v>
      </c>
      <c r="D688" s="55">
        <v>280</v>
      </c>
      <c r="E688" s="55" t="s">
        <v>1510</v>
      </c>
      <c r="F688" s="55" t="s">
        <v>231</v>
      </c>
      <c r="G688" s="55" t="s">
        <v>421</v>
      </c>
      <c r="H688" s="50" t="s">
        <v>1511</v>
      </c>
    </row>
    <row r="689" spans="3:8" x14ac:dyDescent="0.2">
      <c r="C689" s="195">
        <v>44536</v>
      </c>
      <c r="D689" s="55">
        <v>260</v>
      </c>
      <c r="E689" s="55" t="s">
        <v>1512</v>
      </c>
      <c r="F689" s="55" t="s">
        <v>202</v>
      </c>
      <c r="G689" s="55" t="s">
        <v>341</v>
      </c>
      <c r="H689" s="50" t="s">
        <v>224</v>
      </c>
    </row>
    <row r="690" spans="3:8" x14ac:dyDescent="0.2">
      <c r="C690" s="195">
        <v>44536</v>
      </c>
      <c r="D690" s="55">
        <v>280</v>
      </c>
      <c r="E690" s="55" t="s">
        <v>1513</v>
      </c>
      <c r="F690" s="55" t="s">
        <v>244</v>
      </c>
      <c r="G690" s="55" t="s">
        <v>767</v>
      </c>
      <c r="H690" s="50" t="s">
        <v>224</v>
      </c>
    </row>
    <row r="691" spans="3:8" x14ac:dyDescent="0.2">
      <c r="C691" s="195">
        <v>44550</v>
      </c>
      <c r="D691" s="55">
        <v>260</v>
      </c>
      <c r="E691" s="55" t="s">
        <v>1514</v>
      </c>
      <c r="F691" s="55" t="s">
        <v>231</v>
      </c>
      <c r="G691" s="55" t="s">
        <v>421</v>
      </c>
      <c r="H691" s="50" t="s">
        <v>1515</v>
      </c>
    </row>
    <row r="692" spans="3:8" x14ac:dyDescent="0.2">
      <c r="C692" s="195">
        <v>44551</v>
      </c>
      <c r="D692" s="55">
        <v>260</v>
      </c>
      <c r="E692" s="55" t="s">
        <v>1516</v>
      </c>
      <c r="F692" s="55" t="s">
        <v>272</v>
      </c>
      <c r="G692" s="55" t="s">
        <v>273</v>
      </c>
      <c r="H692" s="50" t="s">
        <v>1517</v>
      </c>
    </row>
    <row r="693" spans="3:8" x14ac:dyDescent="0.2">
      <c r="C693" s="195">
        <v>44543</v>
      </c>
      <c r="D693" s="55">
        <v>280</v>
      </c>
      <c r="E693" s="55" t="s">
        <v>1518</v>
      </c>
      <c r="F693" s="55" t="s">
        <v>196</v>
      </c>
      <c r="G693" s="55" t="s">
        <v>498</v>
      </c>
      <c r="H693" s="50" t="s">
        <v>1519</v>
      </c>
    </row>
    <row r="694" spans="3:8" x14ac:dyDescent="0.2">
      <c r="C694" s="195">
        <v>44547</v>
      </c>
      <c r="D694" s="55">
        <v>280</v>
      </c>
      <c r="E694" s="55" t="s">
        <v>1520</v>
      </c>
      <c r="F694" s="55" t="s">
        <v>263</v>
      </c>
      <c r="G694" s="55" t="s">
        <v>1113</v>
      </c>
      <c r="H694" s="50" t="s">
        <v>1521</v>
      </c>
    </row>
    <row r="695" spans="3:8" x14ac:dyDescent="0.2">
      <c r="C695" s="195">
        <v>44557</v>
      </c>
      <c r="D695" s="55">
        <v>260</v>
      </c>
      <c r="E695" s="55" t="s">
        <v>1522</v>
      </c>
      <c r="F695" s="55" t="s">
        <v>231</v>
      </c>
      <c r="G695" s="55" t="s">
        <v>435</v>
      </c>
      <c r="H695" s="50" t="s">
        <v>1523</v>
      </c>
    </row>
    <row r="696" spans="3:8" x14ac:dyDescent="0.2">
      <c r="C696" s="195">
        <v>44551</v>
      </c>
      <c r="D696" s="55">
        <v>280</v>
      </c>
      <c r="E696" s="55" t="s">
        <v>1524</v>
      </c>
      <c r="F696" s="55" t="s">
        <v>202</v>
      </c>
      <c r="G696" s="55" t="s">
        <v>341</v>
      </c>
      <c r="H696" s="50" t="s">
        <v>1525</v>
      </c>
    </row>
    <row r="697" spans="3:8" x14ac:dyDescent="0.2">
      <c r="C697" s="195">
        <v>44532</v>
      </c>
      <c r="D697" s="55">
        <v>260</v>
      </c>
      <c r="E697" s="55" t="s">
        <v>1526</v>
      </c>
      <c r="F697" s="55" t="s">
        <v>390</v>
      </c>
      <c r="G697" s="55" t="s">
        <v>490</v>
      </c>
      <c r="H697" s="50" t="s">
        <v>1527</v>
      </c>
    </row>
    <row r="698" spans="3:8" x14ac:dyDescent="0.2">
      <c r="C698" s="195">
        <v>44557</v>
      </c>
      <c r="D698" s="55">
        <v>260</v>
      </c>
      <c r="E698" s="55" t="s">
        <v>1528</v>
      </c>
      <c r="F698" s="55" t="s">
        <v>206</v>
      </c>
      <c r="G698" s="55" t="s">
        <v>228</v>
      </c>
      <c r="H698" s="50" t="s">
        <v>1529</v>
      </c>
    </row>
    <row r="699" spans="3:8" x14ac:dyDescent="0.2">
      <c r="C699" s="195">
        <v>44552</v>
      </c>
      <c r="D699" s="55">
        <v>260</v>
      </c>
      <c r="E699" s="55" t="s">
        <v>1530</v>
      </c>
      <c r="F699" s="55" t="s">
        <v>206</v>
      </c>
      <c r="G699" s="55" t="s">
        <v>676</v>
      </c>
      <c r="H699" s="50" t="s">
        <v>1531</v>
      </c>
    </row>
    <row r="700" spans="3:8" x14ac:dyDescent="0.2">
      <c r="C700" s="195">
        <v>44559</v>
      </c>
      <c r="D700" s="55">
        <v>280</v>
      </c>
      <c r="E700" s="55" t="s">
        <v>1532</v>
      </c>
      <c r="F700" s="55" t="s">
        <v>263</v>
      </c>
      <c r="G700" s="55" t="s">
        <v>633</v>
      </c>
      <c r="H700" s="50" t="s">
        <v>1533</v>
      </c>
    </row>
    <row r="701" spans="3:8" x14ac:dyDescent="0.2">
      <c r="C701" s="195">
        <v>44538</v>
      </c>
      <c r="D701" s="55">
        <v>280</v>
      </c>
      <c r="E701" s="55" t="s">
        <v>1534</v>
      </c>
      <c r="F701" s="55" t="s">
        <v>231</v>
      </c>
      <c r="G701" s="55" t="s">
        <v>1098</v>
      </c>
      <c r="H701" s="50" t="s">
        <v>224</v>
      </c>
    </row>
    <row r="702" spans="3:8" x14ac:dyDescent="0.2">
      <c r="C702" s="195">
        <v>44544</v>
      </c>
      <c r="D702" s="55">
        <v>280</v>
      </c>
      <c r="E702" s="55" t="s">
        <v>1535</v>
      </c>
      <c r="F702" s="55" t="s">
        <v>210</v>
      </c>
      <c r="G702" s="55" t="s">
        <v>306</v>
      </c>
      <c r="H702" s="50" t="s">
        <v>1536</v>
      </c>
    </row>
    <row r="703" spans="3:8" x14ac:dyDescent="0.2">
      <c r="C703" s="195">
        <v>44537</v>
      </c>
      <c r="D703" s="55">
        <v>260</v>
      </c>
      <c r="E703" s="55" t="s">
        <v>1537</v>
      </c>
      <c r="F703" s="55" t="s">
        <v>272</v>
      </c>
      <c r="G703" s="55" t="s">
        <v>366</v>
      </c>
      <c r="H703" s="50" t="s">
        <v>1538</v>
      </c>
    </row>
    <row r="704" spans="3:8" x14ac:dyDescent="0.2">
      <c r="C704" s="195">
        <v>44550</v>
      </c>
      <c r="D704" s="55">
        <v>280</v>
      </c>
      <c r="E704" s="55" t="s">
        <v>1539</v>
      </c>
      <c r="F704" s="55" t="s">
        <v>390</v>
      </c>
      <c r="G704" s="55" t="s">
        <v>671</v>
      </c>
      <c r="H704" s="50" t="s">
        <v>224</v>
      </c>
    </row>
    <row r="705" spans="1:9" x14ac:dyDescent="0.2">
      <c r="C705" s="195">
        <v>44552</v>
      </c>
      <c r="D705" s="55">
        <v>280</v>
      </c>
      <c r="E705" s="55" t="s">
        <v>1540</v>
      </c>
      <c r="F705" s="55" t="s">
        <v>390</v>
      </c>
      <c r="G705" s="55" t="s">
        <v>671</v>
      </c>
      <c r="H705" s="50" t="s">
        <v>1541</v>
      </c>
    </row>
    <row r="706" spans="1:9" x14ac:dyDescent="0.2">
      <c r="C706" s="195">
        <v>44551</v>
      </c>
      <c r="D706" s="55">
        <v>260</v>
      </c>
      <c r="E706" s="55" t="s">
        <v>1542</v>
      </c>
      <c r="F706" s="55" t="s">
        <v>272</v>
      </c>
      <c r="G706" s="55" t="s">
        <v>1040</v>
      </c>
      <c r="H706" s="50" t="s">
        <v>1543</v>
      </c>
    </row>
    <row r="707" spans="1:9" x14ac:dyDescent="0.2">
      <c r="C707" s="195">
        <v>44547</v>
      </c>
      <c r="D707" s="55">
        <v>260</v>
      </c>
      <c r="E707" s="55" t="s">
        <v>1544</v>
      </c>
      <c r="F707" s="55" t="s">
        <v>267</v>
      </c>
      <c r="G707" s="55" t="s">
        <v>331</v>
      </c>
      <c r="H707" s="50" t="s">
        <v>1545</v>
      </c>
    </row>
    <row r="708" spans="1:9" x14ac:dyDescent="0.2">
      <c r="C708" s="195">
        <v>44547</v>
      </c>
      <c r="D708" s="55">
        <v>260</v>
      </c>
      <c r="E708" s="55" t="s">
        <v>1546</v>
      </c>
      <c r="F708" s="55" t="s">
        <v>210</v>
      </c>
      <c r="G708" s="55" t="s">
        <v>211</v>
      </c>
      <c r="H708" s="50" t="s">
        <v>1547</v>
      </c>
    </row>
    <row r="709" spans="1:9" x14ac:dyDescent="0.2">
      <c r="A709" s="57">
        <v>1221</v>
      </c>
      <c r="B709" t="s">
        <v>836</v>
      </c>
      <c r="C709" s="195">
        <v>44536</v>
      </c>
      <c r="D709" s="55">
        <v>280</v>
      </c>
      <c r="E709" s="55" t="s">
        <v>1548</v>
      </c>
      <c r="F709" s="55" t="s">
        <v>192</v>
      </c>
      <c r="G709" s="55" t="s">
        <v>258</v>
      </c>
      <c r="H709" s="50" t="s">
        <v>224</v>
      </c>
      <c r="I709" s="46" t="s">
        <v>837</v>
      </c>
    </row>
    <row r="710" spans="1:9" x14ac:dyDescent="0.2">
      <c r="C710" s="195">
        <v>44539</v>
      </c>
      <c r="D710" s="55">
        <v>280</v>
      </c>
      <c r="E710" s="55" t="s">
        <v>1549</v>
      </c>
      <c r="F710" s="55" t="s">
        <v>206</v>
      </c>
      <c r="G710" s="55" t="s">
        <v>207</v>
      </c>
      <c r="H710" s="50" t="s">
        <v>1550</v>
      </c>
    </row>
    <row r="711" spans="1:9" x14ac:dyDescent="0.2">
      <c r="C711" s="195">
        <v>44539</v>
      </c>
      <c r="D711" s="55">
        <v>280</v>
      </c>
      <c r="E711" s="55" t="s">
        <v>1551</v>
      </c>
      <c r="F711" s="55" t="s">
        <v>267</v>
      </c>
      <c r="G711" s="55" t="s">
        <v>331</v>
      </c>
      <c r="H711" s="50" t="s">
        <v>224</v>
      </c>
    </row>
    <row r="712" spans="1:9" x14ac:dyDescent="0.2">
      <c r="C712" s="195">
        <v>44559</v>
      </c>
      <c r="D712" s="55">
        <v>280</v>
      </c>
      <c r="E712" s="55" t="s">
        <v>1552</v>
      </c>
      <c r="F712" s="55" t="s">
        <v>291</v>
      </c>
      <c r="G712" s="55" t="s">
        <v>643</v>
      </c>
      <c r="H712" s="50" t="s">
        <v>224</v>
      </c>
    </row>
    <row r="713" spans="1:9" x14ac:dyDescent="0.2">
      <c r="C713" s="195">
        <v>44552</v>
      </c>
      <c r="D713" s="55">
        <v>260</v>
      </c>
      <c r="E713" s="55" t="s">
        <v>1553</v>
      </c>
      <c r="F713" s="55" t="s">
        <v>192</v>
      </c>
      <c r="G713" s="55" t="s">
        <v>563</v>
      </c>
      <c r="H713" s="50" t="s">
        <v>1554</v>
      </c>
    </row>
    <row r="714" spans="1:9" x14ac:dyDescent="0.2">
      <c r="C714" s="195">
        <v>44560</v>
      </c>
      <c r="D714" s="55">
        <v>260</v>
      </c>
      <c r="E714" s="55" t="s">
        <v>1555</v>
      </c>
      <c r="F714" s="55" t="s">
        <v>244</v>
      </c>
      <c r="G714" s="55" t="s">
        <v>767</v>
      </c>
      <c r="H714" s="50" t="s">
        <v>1556</v>
      </c>
    </row>
    <row r="715" spans="1:9" x14ac:dyDescent="0.2">
      <c r="C715" s="195">
        <v>44558</v>
      </c>
      <c r="D715" s="55">
        <v>260</v>
      </c>
      <c r="E715" s="55" t="s">
        <v>1557</v>
      </c>
      <c r="F715" s="55" t="s">
        <v>202</v>
      </c>
      <c r="G715" s="55" t="s">
        <v>297</v>
      </c>
      <c r="H715" s="50" t="s">
        <v>1558</v>
      </c>
    </row>
    <row r="716" spans="1:9" x14ac:dyDescent="0.2">
      <c r="C716" s="195">
        <v>44559</v>
      </c>
      <c r="D716" s="55">
        <v>260</v>
      </c>
      <c r="E716" s="55" t="s">
        <v>1559</v>
      </c>
      <c r="F716" s="55" t="s">
        <v>192</v>
      </c>
      <c r="G716" s="55" t="s">
        <v>324</v>
      </c>
      <c r="H716" s="50" t="s">
        <v>1560</v>
      </c>
    </row>
    <row r="717" spans="1:9" x14ac:dyDescent="0.2">
      <c r="A717" s="57">
        <v>1221</v>
      </c>
      <c r="B717" t="s">
        <v>836</v>
      </c>
      <c r="C717" s="195">
        <v>44533</v>
      </c>
      <c r="D717" s="55">
        <v>280</v>
      </c>
      <c r="E717" s="55" t="s">
        <v>1561</v>
      </c>
      <c r="F717" s="55" t="s">
        <v>210</v>
      </c>
      <c r="G717" s="55" t="s">
        <v>1095</v>
      </c>
      <c r="H717" s="50" t="s">
        <v>224</v>
      </c>
      <c r="I717" s="46" t="s">
        <v>837</v>
      </c>
    </row>
    <row r="718" spans="1:9" x14ac:dyDescent="0.2">
      <c r="C718" s="195">
        <v>44536</v>
      </c>
      <c r="D718" s="55">
        <v>260</v>
      </c>
      <c r="E718" s="55" t="s">
        <v>1562</v>
      </c>
      <c r="F718" s="55" t="s">
        <v>202</v>
      </c>
      <c r="G718" s="55" t="s">
        <v>341</v>
      </c>
      <c r="H718" s="50" t="s">
        <v>224</v>
      </c>
    </row>
    <row r="719" spans="1:9" x14ac:dyDescent="0.2">
      <c r="A719" s="57">
        <v>1221</v>
      </c>
      <c r="B719" t="s">
        <v>836</v>
      </c>
      <c r="C719" s="195">
        <v>44538</v>
      </c>
      <c r="D719" s="55">
        <v>260</v>
      </c>
      <c r="E719" s="55" t="s">
        <v>1563</v>
      </c>
      <c r="F719" s="55" t="s">
        <v>267</v>
      </c>
      <c r="G719" s="55" t="s">
        <v>331</v>
      </c>
      <c r="I719" s="46" t="s">
        <v>837</v>
      </c>
    </row>
    <row r="720" spans="1:9" x14ac:dyDescent="0.2">
      <c r="C720" s="195">
        <v>44537</v>
      </c>
      <c r="D720" s="55">
        <v>280</v>
      </c>
      <c r="E720" s="55" t="s">
        <v>1564</v>
      </c>
      <c r="F720" s="55" t="s">
        <v>192</v>
      </c>
      <c r="G720" s="55" t="s">
        <v>401</v>
      </c>
      <c r="H720" s="50" t="s">
        <v>224</v>
      </c>
    </row>
    <row r="721" spans="1:62" x14ac:dyDescent="0.2">
      <c r="C721" s="195">
        <v>44560</v>
      </c>
      <c r="D721" s="55">
        <v>260</v>
      </c>
      <c r="E721" s="55" t="s">
        <v>1565</v>
      </c>
      <c r="F721" s="55" t="s">
        <v>196</v>
      </c>
      <c r="G721" s="55" t="s">
        <v>645</v>
      </c>
      <c r="H721" s="50" t="s">
        <v>1566</v>
      </c>
    </row>
    <row r="722" spans="1:62" x14ac:dyDescent="0.2">
      <c r="C722" s="195">
        <v>44532</v>
      </c>
      <c r="D722" s="55">
        <v>260</v>
      </c>
      <c r="E722" s="55" t="s">
        <v>1567</v>
      </c>
      <c r="F722" s="55" t="s">
        <v>267</v>
      </c>
      <c r="G722" s="55" t="s">
        <v>535</v>
      </c>
      <c r="H722" s="50" t="s">
        <v>1568</v>
      </c>
    </row>
    <row r="723" spans="1:62" x14ac:dyDescent="0.2">
      <c r="C723" s="195">
        <v>44539</v>
      </c>
      <c r="D723" s="55">
        <v>260</v>
      </c>
      <c r="E723" s="55" t="s">
        <v>1569</v>
      </c>
      <c r="F723" s="55" t="s">
        <v>267</v>
      </c>
      <c r="G723" s="55" t="s">
        <v>442</v>
      </c>
    </row>
    <row r="724" spans="1:62" x14ac:dyDescent="0.2">
      <c r="A724" s="57">
        <v>1221</v>
      </c>
      <c r="B724" s="162" t="s">
        <v>836</v>
      </c>
      <c r="C724" s="195">
        <v>44540</v>
      </c>
      <c r="D724" s="55">
        <v>260</v>
      </c>
      <c r="E724" s="55" t="s">
        <v>1570</v>
      </c>
      <c r="F724" s="55" t="s">
        <v>219</v>
      </c>
      <c r="G724" s="55" t="s">
        <v>220</v>
      </c>
      <c r="I724" s="46" t="s">
        <v>839</v>
      </c>
      <c r="J724" s="52">
        <v>1</v>
      </c>
      <c r="K724" s="52">
        <v>1</v>
      </c>
      <c r="O724" s="1">
        <v>1</v>
      </c>
      <c r="S724" s="1">
        <v>1</v>
      </c>
      <c r="W724" s="1">
        <v>1</v>
      </c>
      <c r="AA724" s="1">
        <v>1</v>
      </c>
      <c r="AG724">
        <v>1</v>
      </c>
      <c r="AM724">
        <v>4</v>
      </c>
      <c r="AS724">
        <v>4</v>
      </c>
      <c r="AT724">
        <v>1</v>
      </c>
      <c r="AU724">
        <v>1</v>
      </c>
      <c r="AZ724">
        <v>1</v>
      </c>
      <c r="BA724">
        <v>1</v>
      </c>
      <c r="BB724">
        <v>1</v>
      </c>
      <c r="BC724">
        <v>1</v>
      </c>
      <c r="BD724">
        <v>1</v>
      </c>
      <c r="BE724">
        <v>1</v>
      </c>
      <c r="BJ724">
        <v>1</v>
      </c>
    </row>
    <row r="725" spans="1:62" x14ac:dyDescent="0.2">
      <c r="C725" s="195">
        <v>44537</v>
      </c>
      <c r="D725" s="55">
        <v>260</v>
      </c>
      <c r="E725" s="55" t="s">
        <v>1571</v>
      </c>
      <c r="F725" s="55" t="s">
        <v>210</v>
      </c>
      <c r="G725" s="55" t="s">
        <v>1572</v>
      </c>
      <c r="H725" s="50" t="s">
        <v>1573</v>
      </c>
    </row>
    <row r="726" spans="1:62" x14ac:dyDescent="0.2">
      <c r="C726" s="195">
        <v>44536</v>
      </c>
      <c r="D726" s="55">
        <v>280</v>
      </c>
      <c r="E726" s="55" t="s">
        <v>1574</v>
      </c>
      <c r="F726" s="55" t="s">
        <v>196</v>
      </c>
      <c r="G726" s="55" t="s">
        <v>197</v>
      </c>
      <c r="H726" s="50" t="s">
        <v>1575</v>
      </c>
    </row>
    <row r="727" spans="1:62" x14ac:dyDescent="0.2">
      <c r="C727" s="195">
        <v>44539</v>
      </c>
      <c r="D727" s="55">
        <v>280</v>
      </c>
      <c r="E727" s="55" t="s">
        <v>1576</v>
      </c>
      <c r="F727" s="55" t="s">
        <v>231</v>
      </c>
      <c r="G727" s="55" t="s">
        <v>782</v>
      </c>
      <c r="H727" s="50" t="s">
        <v>1577</v>
      </c>
    </row>
    <row r="728" spans="1:62" x14ac:dyDescent="0.2">
      <c r="C728" s="195">
        <v>44551</v>
      </c>
      <c r="D728" s="55">
        <v>260</v>
      </c>
      <c r="E728" s="55" t="s">
        <v>1578</v>
      </c>
      <c r="F728" s="55" t="s">
        <v>196</v>
      </c>
      <c r="G728" s="55" t="s">
        <v>645</v>
      </c>
      <c r="H728" s="50" t="s">
        <v>1579</v>
      </c>
    </row>
    <row r="729" spans="1:62" x14ac:dyDescent="0.2">
      <c r="C729" s="195">
        <v>44531</v>
      </c>
      <c r="D729" s="55">
        <v>260</v>
      </c>
      <c r="E729" s="55" t="s">
        <v>1580</v>
      </c>
      <c r="F729" s="55" t="s">
        <v>267</v>
      </c>
      <c r="G729" s="55" t="s">
        <v>268</v>
      </c>
      <c r="H729" s="50" t="s">
        <v>1581</v>
      </c>
    </row>
    <row r="730" spans="1:62" x14ac:dyDescent="0.2">
      <c r="C730" s="195">
        <v>44558</v>
      </c>
      <c r="D730" s="55">
        <v>260</v>
      </c>
      <c r="E730" s="55" t="s">
        <v>1582</v>
      </c>
      <c r="F730" s="55" t="s">
        <v>192</v>
      </c>
      <c r="G730" s="55" t="s">
        <v>258</v>
      </c>
      <c r="H730" s="50" t="s">
        <v>1583</v>
      </c>
    </row>
    <row r="731" spans="1:62" x14ac:dyDescent="0.2">
      <c r="C731" s="195">
        <v>44545</v>
      </c>
      <c r="D731" s="55">
        <v>280</v>
      </c>
      <c r="E731" s="55" t="s">
        <v>1584</v>
      </c>
      <c r="F731" s="55" t="s">
        <v>231</v>
      </c>
      <c r="G731" s="55" t="s">
        <v>1098</v>
      </c>
      <c r="H731" s="50" t="s">
        <v>1585</v>
      </c>
    </row>
    <row r="732" spans="1:62" x14ac:dyDescent="0.2">
      <c r="C732" s="195">
        <v>44558</v>
      </c>
      <c r="D732" s="55">
        <v>260</v>
      </c>
      <c r="E732" s="55" t="s">
        <v>1586</v>
      </c>
      <c r="F732" s="55" t="s">
        <v>263</v>
      </c>
      <c r="G732" s="55" t="s">
        <v>1005</v>
      </c>
      <c r="H732" s="50" t="s">
        <v>1587</v>
      </c>
    </row>
    <row r="733" spans="1:62" x14ac:dyDescent="0.2">
      <c r="C733" s="195">
        <v>44545</v>
      </c>
      <c r="D733" s="55">
        <v>260</v>
      </c>
      <c r="E733" s="55" t="s">
        <v>1588</v>
      </c>
      <c r="F733" s="55" t="s">
        <v>390</v>
      </c>
      <c r="G733" s="55" t="s">
        <v>408</v>
      </c>
      <c r="H733" s="50" t="s">
        <v>1589</v>
      </c>
    </row>
    <row r="734" spans="1:62" x14ac:dyDescent="0.2">
      <c r="C734" s="195">
        <v>44536</v>
      </c>
      <c r="D734" s="55">
        <v>260</v>
      </c>
      <c r="E734" s="55" t="s">
        <v>1590</v>
      </c>
      <c r="F734" s="55" t="s">
        <v>263</v>
      </c>
      <c r="G734" s="55" t="s">
        <v>426</v>
      </c>
      <c r="H734" s="50" t="s">
        <v>1591</v>
      </c>
    </row>
    <row r="735" spans="1:62" x14ac:dyDescent="0.2">
      <c r="C735" s="195">
        <v>44558</v>
      </c>
      <c r="D735" s="55">
        <v>260</v>
      </c>
      <c r="E735" s="55" t="s">
        <v>1592</v>
      </c>
      <c r="F735" s="55" t="s">
        <v>219</v>
      </c>
      <c r="G735" s="55" t="s">
        <v>451</v>
      </c>
      <c r="H735" s="50" t="s">
        <v>1593</v>
      </c>
    </row>
    <row r="736" spans="1:62" x14ac:dyDescent="0.2">
      <c r="C736" s="195">
        <v>44533</v>
      </c>
      <c r="D736" s="55">
        <v>280</v>
      </c>
      <c r="E736" s="55" t="s">
        <v>1594</v>
      </c>
      <c r="F736" s="55" t="s">
        <v>206</v>
      </c>
      <c r="G736" s="55" t="s">
        <v>228</v>
      </c>
      <c r="H736" s="50" t="s">
        <v>1595</v>
      </c>
    </row>
    <row r="737" spans="1:9" x14ac:dyDescent="0.2">
      <c r="C737" s="195">
        <v>44536</v>
      </c>
      <c r="D737" s="55">
        <v>260</v>
      </c>
      <c r="E737" s="55" t="s">
        <v>1596</v>
      </c>
      <c r="F737" s="55" t="s">
        <v>390</v>
      </c>
      <c r="G737" s="55" t="s">
        <v>870</v>
      </c>
      <c r="H737" s="50" t="s">
        <v>1597</v>
      </c>
    </row>
    <row r="738" spans="1:9" x14ac:dyDescent="0.2">
      <c r="C738" s="195">
        <v>44532</v>
      </c>
      <c r="D738" s="55">
        <v>280</v>
      </c>
      <c r="E738" s="55" t="s">
        <v>1598</v>
      </c>
      <c r="F738" s="55" t="s">
        <v>219</v>
      </c>
      <c r="G738" s="55" t="s">
        <v>223</v>
      </c>
      <c r="H738" s="50" t="s">
        <v>1599</v>
      </c>
    </row>
    <row r="739" spans="1:9" x14ac:dyDescent="0.2">
      <c r="C739" s="195">
        <v>44531</v>
      </c>
      <c r="D739" s="55">
        <v>280</v>
      </c>
      <c r="E739" s="55" t="s">
        <v>1600</v>
      </c>
      <c r="F739" s="55" t="s">
        <v>192</v>
      </c>
      <c r="G739" s="55" t="s">
        <v>258</v>
      </c>
      <c r="H739" s="50" t="s">
        <v>1601</v>
      </c>
    </row>
    <row r="740" spans="1:9" x14ac:dyDescent="0.2">
      <c r="C740" s="195">
        <v>44547</v>
      </c>
      <c r="D740" s="55">
        <v>260</v>
      </c>
      <c r="E740" s="55" t="s">
        <v>1602</v>
      </c>
      <c r="F740" s="55" t="s">
        <v>267</v>
      </c>
      <c r="G740" s="55" t="s">
        <v>268</v>
      </c>
      <c r="H740" s="50" t="s">
        <v>1603</v>
      </c>
    </row>
    <row r="741" spans="1:9" x14ac:dyDescent="0.2">
      <c r="A741" s="57">
        <v>1221</v>
      </c>
      <c r="B741" t="s">
        <v>836</v>
      </c>
      <c r="C741" s="195">
        <v>44550</v>
      </c>
      <c r="D741" s="55">
        <v>280</v>
      </c>
      <c r="E741" s="55" t="s">
        <v>1604</v>
      </c>
      <c r="F741" s="55" t="s">
        <v>210</v>
      </c>
      <c r="G741" s="55" t="s">
        <v>383</v>
      </c>
      <c r="H741" s="50" t="s">
        <v>224</v>
      </c>
      <c r="I741" s="46" t="s">
        <v>837</v>
      </c>
    </row>
    <row r="742" spans="1:9" x14ac:dyDescent="0.2">
      <c r="C742" s="195">
        <v>44536</v>
      </c>
      <c r="D742" s="55">
        <v>280</v>
      </c>
      <c r="E742" s="55" t="s">
        <v>1605</v>
      </c>
      <c r="F742" s="55" t="s">
        <v>231</v>
      </c>
      <c r="G742" s="55" t="s">
        <v>782</v>
      </c>
      <c r="H742" s="50" t="s">
        <v>1606</v>
      </c>
    </row>
    <row r="743" spans="1:9" x14ac:dyDescent="0.2">
      <c r="C743" s="195">
        <v>44547</v>
      </c>
      <c r="D743" s="55">
        <v>280</v>
      </c>
      <c r="E743" s="55" t="s">
        <v>1607</v>
      </c>
      <c r="F743" s="55" t="s">
        <v>210</v>
      </c>
      <c r="G743" s="55" t="s">
        <v>1572</v>
      </c>
      <c r="H743" s="50" t="s">
        <v>1608</v>
      </c>
    </row>
    <row r="744" spans="1:9" x14ac:dyDescent="0.2">
      <c r="C744" s="195">
        <v>44536</v>
      </c>
      <c r="D744" s="55">
        <v>260</v>
      </c>
      <c r="E744" s="55" t="s">
        <v>1609</v>
      </c>
      <c r="F744" s="55" t="s">
        <v>272</v>
      </c>
      <c r="G744" s="55" t="s">
        <v>533</v>
      </c>
      <c r="H744" s="50" t="s">
        <v>1610</v>
      </c>
    </row>
    <row r="745" spans="1:9" x14ac:dyDescent="0.2">
      <c r="C745" s="195">
        <v>44533</v>
      </c>
      <c r="D745" s="55">
        <v>280</v>
      </c>
      <c r="E745" s="55" t="s">
        <v>1611</v>
      </c>
      <c r="F745" s="55" t="s">
        <v>210</v>
      </c>
      <c r="G745" s="55" t="s">
        <v>1095</v>
      </c>
      <c r="H745" s="50" t="s">
        <v>1612</v>
      </c>
    </row>
    <row r="746" spans="1:9" x14ac:dyDescent="0.2">
      <c r="C746" s="195">
        <v>44545</v>
      </c>
      <c r="D746" s="55">
        <v>260</v>
      </c>
      <c r="E746" s="55" t="s">
        <v>1613</v>
      </c>
      <c r="F746" s="55" t="s">
        <v>219</v>
      </c>
      <c r="G746" s="55" t="s">
        <v>249</v>
      </c>
      <c r="H746" s="50" t="s">
        <v>1614</v>
      </c>
    </row>
    <row r="747" spans="1:9" x14ac:dyDescent="0.2">
      <c r="C747" s="195">
        <v>44531</v>
      </c>
      <c r="D747" s="55">
        <v>280</v>
      </c>
      <c r="E747" s="55" t="s">
        <v>1615</v>
      </c>
      <c r="F747" s="55" t="s">
        <v>231</v>
      </c>
      <c r="G747" s="55" t="s">
        <v>387</v>
      </c>
      <c r="H747" s="50" t="s">
        <v>1616</v>
      </c>
    </row>
    <row r="748" spans="1:9" x14ac:dyDescent="0.2">
      <c r="C748" s="195">
        <v>44551</v>
      </c>
      <c r="D748" s="55">
        <v>280</v>
      </c>
      <c r="E748" s="55" t="s">
        <v>1617</v>
      </c>
      <c r="F748" s="55" t="s">
        <v>202</v>
      </c>
      <c r="G748" s="55" t="s">
        <v>321</v>
      </c>
      <c r="H748" s="50" t="s">
        <v>1618</v>
      </c>
    </row>
    <row r="749" spans="1:9" x14ac:dyDescent="0.2">
      <c r="C749" s="195">
        <v>44540</v>
      </c>
      <c r="D749" s="55">
        <v>260</v>
      </c>
      <c r="E749" s="55" t="s">
        <v>1619</v>
      </c>
      <c r="F749" s="55" t="s">
        <v>219</v>
      </c>
      <c r="G749" s="55" t="s">
        <v>540</v>
      </c>
      <c r="H749" s="50" t="s">
        <v>1620</v>
      </c>
    </row>
    <row r="750" spans="1:9" x14ac:dyDescent="0.2">
      <c r="C750" s="195">
        <v>44545</v>
      </c>
      <c r="D750" s="55">
        <v>260</v>
      </c>
      <c r="E750" s="55" t="s">
        <v>1621</v>
      </c>
      <c r="F750" s="55" t="s">
        <v>267</v>
      </c>
      <c r="G750" s="55" t="s">
        <v>813</v>
      </c>
      <c r="H750" s="50" t="s">
        <v>224</v>
      </c>
    </row>
    <row r="751" spans="1:9" x14ac:dyDescent="0.2">
      <c r="C751" s="195">
        <v>44559</v>
      </c>
      <c r="D751" s="55">
        <v>260</v>
      </c>
      <c r="E751" s="55" t="s">
        <v>1622</v>
      </c>
      <c r="F751" s="55" t="s">
        <v>291</v>
      </c>
      <c r="G751" s="55" t="s">
        <v>1215</v>
      </c>
      <c r="H751" s="50" t="s">
        <v>1623</v>
      </c>
    </row>
    <row r="752" spans="1:9" x14ac:dyDescent="0.2">
      <c r="C752" s="195">
        <v>44543</v>
      </c>
      <c r="D752" s="55">
        <v>260</v>
      </c>
      <c r="E752" s="55" t="s">
        <v>1624</v>
      </c>
      <c r="F752" s="55" t="s">
        <v>267</v>
      </c>
      <c r="G752" s="55" t="s">
        <v>268</v>
      </c>
      <c r="H752" s="50" t="s">
        <v>1625</v>
      </c>
    </row>
    <row r="753" spans="3:8" x14ac:dyDescent="0.2">
      <c r="C753" s="195">
        <v>44544</v>
      </c>
      <c r="D753" s="55">
        <v>280</v>
      </c>
      <c r="E753" s="55" t="s">
        <v>1626</v>
      </c>
      <c r="F753" s="55" t="s">
        <v>231</v>
      </c>
      <c r="G753" s="55" t="s">
        <v>255</v>
      </c>
      <c r="H753" s="50" t="s">
        <v>1627</v>
      </c>
    </row>
    <row r="754" spans="3:8" x14ac:dyDescent="0.2">
      <c r="C754" s="195">
        <v>44537</v>
      </c>
      <c r="D754" s="55">
        <v>260</v>
      </c>
      <c r="E754" s="55" t="s">
        <v>1628</v>
      </c>
      <c r="F754" s="55" t="s">
        <v>231</v>
      </c>
      <c r="G754" s="55" t="s">
        <v>371</v>
      </c>
      <c r="H754" s="50" t="s">
        <v>1629</v>
      </c>
    </row>
    <row r="755" spans="3:8" x14ac:dyDescent="0.2">
      <c r="C755" s="195">
        <v>44551</v>
      </c>
      <c r="D755" s="55">
        <v>260</v>
      </c>
      <c r="E755" s="55" t="s">
        <v>1630</v>
      </c>
      <c r="F755" s="55" t="s">
        <v>390</v>
      </c>
      <c r="G755" s="55" t="s">
        <v>490</v>
      </c>
      <c r="H755" s="50" t="s">
        <v>1631</v>
      </c>
    </row>
    <row r="756" spans="3:8" x14ac:dyDescent="0.2">
      <c r="C756" s="195">
        <v>44558</v>
      </c>
      <c r="D756" s="55">
        <v>260</v>
      </c>
      <c r="E756" s="55" t="s">
        <v>1632</v>
      </c>
      <c r="F756" s="55" t="s">
        <v>219</v>
      </c>
      <c r="G756" s="55" t="s">
        <v>540</v>
      </c>
      <c r="H756" s="50" t="s">
        <v>1633</v>
      </c>
    </row>
    <row r="757" spans="3:8" x14ac:dyDescent="0.2">
      <c r="C757" s="195">
        <v>44543</v>
      </c>
      <c r="D757" s="55">
        <v>280</v>
      </c>
      <c r="E757" s="55" t="s">
        <v>1634</v>
      </c>
      <c r="F757" s="55" t="s">
        <v>202</v>
      </c>
      <c r="G757" s="55" t="s">
        <v>341</v>
      </c>
      <c r="H757" s="50" t="s">
        <v>1635</v>
      </c>
    </row>
    <row r="758" spans="3:8" x14ac:dyDescent="0.2">
      <c r="C758" s="195">
        <v>44551</v>
      </c>
      <c r="D758" s="55">
        <v>280</v>
      </c>
      <c r="E758" s="55" t="s">
        <v>1636</v>
      </c>
      <c r="F758" s="55" t="s">
        <v>244</v>
      </c>
      <c r="G758" s="55" t="s">
        <v>294</v>
      </c>
      <c r="H758" s="50" t="s">
        <v>1637</v>
      </c>
    </row>
    <row r="759" spans="3:8" x14ac:dyDescent="0.2">
      <c r="C759" s="195">
        <v>44557</v>
      </c>
      <c r="D759" s="55">
        <v>280</v>
      </c>
      <c r="E759" s="55" t="s">
        <v>1638</v>
      </c>
      <c r="F759" s="55" t="s">
        <v>206</v>
      </c>
      <c r="G759" s="55" t="s">
        <v>228</v>
      </c>
      <c r="H759" s="50" t="s">
        <v>1639</v>
      </c>
    </row>
    <row r="760" spans="3:8" x14ac:dyDescent="0.2">
      <c r="C760" s="195">
        <v>44536</v>
      </c>
      <c r="D760" s="55">
        <v>260</v>
      </c>
      <c r="E760" s="55" t="s">
        <v>1640</v>
      </c>
      <c r="F760" s="55" t="s">
        <v>263</v>
      </c>
      <c r="G760" s="55" t="s">
        <v>633</v>
      </c>
      <c r="H760" s="50" t="s">
        <v>1641</v>
      </c>
    </row>
    <row r="761" spans="3:8" x14ac:dyDescent="0.2">
      <c r="C761" s="195">
        <v>44536</v>
      </c>
      <c r="D761" s="55">
        <v>280</v>
      </c>
      <c r="E761" s="55" t="s">
        <v>1642</v>
      </c>
      <c r="F761" s="55" t="s">
        <v>231</v>
      </c>
      <c r="G761" s="55" t="s">
        <v>782</v>
      </c>
      <c r="H761" s="50" t="s">
        <v>1643</v>
      </c>
    </row>
    <row r="762" spans="3:8" x14ac:dyDescent="0.2">
      <c r="C762" s="195">
        <v>44531</v>
      </c>
      <c r="D762" s="55">
        <v>260</v>
      </c>
      <c r="E762" s="55" t="s">
        <v>1644</v>
      </c>
      <c r="F762" s="55" t="s">
        <v>192</v>
      </c>
      <c r="G762" s="55" t="s">
        <v>258</v>
      </c>
      <c r="H762" s="50" t="s">
        <v>224</v>
      </c>
    </row>
    <row r="763" spans="3:8" x14ac:dyDescent="0.2">
      <c r="C763" s="195">
        <v>44551</v>
      </c>
      <c r="D763" s="55">
        <v>260</v>
      </c>
      <c r="E763" s="55" t="s">
        <v>1645</v>
      </c>
      <c r="F763" s="55" t="s">
        <v>244</v>
      </c>
      <c r="G763" s="55" t="s">
        <v>1085</v>
      </c>
      <c r="H763" s="50" t="s">
        <v>1581</v>
      </c>
    </row>
    <row r="764" spans="3:8" x14ac:dyDescent="0.2">
      <c r="C764" s="195">
        <v>44552</v>
      </c>
      <c r="D764" s="55">
        <v>260</v>
      </c>
      <c r="E764" s="55" t="s">
        <v>1646</v>
      </c>
      <c r="F764" s="55" t="s">
        <v>192</v>
      </c>
      <c r="G764" s="55" t="s">
        <v>563</v>
      </c>
      <c r="H764" s="50" t="s">
        <v>224</v>
      </c>
    </row>
    <row r="765" spans="3:8" x14ac:dyDescent="0.2">
      <c r="C765" s="195">
        <v>44558</v>
      </c>
      <c r="D765" s="55">
        <v>280</v>
      </c>
      <c r="E765" s="55" t="s">
        <v>1647</v>
      </c>
      <c r="F765" s="55" t="s">
        <v>390</v>
      </c>
      <c r="G765" s="55" t="s">
        <v>391</v>
      </c>
      <c r="H765" s="50" t="s">
        <v>1648</v>
      </c>
    </row>
    <row r="766" spans="3:8" x14ac:dyDescent="0.2">
      <c r="C766" s="195">
        <v>44557</v>
      </c>
      <c r="D766" s="55">
        <v>260</v>
      </c>
      <c r="E766" s="55" t="s">
        <v>1649</v>
      </c>
      <c r="F766" s="55" t="s">
        <v>210</v>
      </c>
      <c r="G766" s="55" t="s">
        <v>235</v>
      </c>
      <c r="H766" s="50" t="s">
        <v>1650</v>
      </c>
    </row>
    <row r="767" spans="3:8" x14ac:dyDescent="0.2">
      <c r="C767" s="195">
        <v>44560</v>
      </c>
      <c r="D767" s="55">
        <v>280</v>
      </c>
      <c r="E767" s="55" t="s">
        <v>1651</v>
      </c>
      <c r="F767" s="55" t="s">
        <v>390</v>
      </c>
      <c r="G767" s="55" t="s">
        <v>656</v>
      </c>
      <c r="H767" s="50" t="s">
        <v>1652</v>
      </c>
    </row>
    <row r="768" spans="3:8" x14ac:dyDescent="0.2">
      <c r="C768" s="195">
        <v>44540</v>
      </c>
      <c r="D768" s="55">
        <v>280</v>
      </c>
      <c r="E768" s="55" t="s">
        <v>1653</v>
      </c>
      <c r="F768" s="55" t="s">
        <v>210</v>
      </c>
      <c r="G768" s="55" t="s">
        <v>306</v>
      </c>
      <c r="H768" s="50" t="s">
        <v>1654</v>
      </c>
    </row>
    <row r="769" spans="3:8" x14ac:dyDescent="0.2">
      <c r="C769" s="195">
        <v>44532</v>
      </c>
      <c r="D769" s="55">
        <v>260</v>
      </c>
      <c r="E769" s="55" t="s">
        <v>1655</v>
      </c>
      <c r="F769" s="55" t="s">
        <v>219</v>
      </c>
      <c r="G769" s="55" t="s">
        <v>249</v>
      </c>
      <c r="H769" s="50" t="s">
        <v>1656</v>
      </c>
    </row>
    <row r="770" spans="3:8" x14ac:dyDescent="0.2">
      <c r="C770" s="195">
        <v>44533</v>
      </c>
      <c r="D770" s="55">
        <v>260</v>
      </c>
      <c r="E770" s="55" t="s">
        <v>1657</v>
      </c>
      <c r="F770" s="55" t="s">
        <v>244</v>
      </c>
      <c r="G770" s="55" t="s">
        <v>767</v>
      </c>
      <c r="H770" s="50" t="s">
        <v>1658</v>
      </c>
    </row>
    <row r="771" spans="3:8" x14ac:dyDescent="0.2">
      <c r="C771" s="195">
        <v>44559</v>
      </c>
      <c r="D771" s="55">
        <v>280</v>
      </c>
      <c r="E771" s="55" t="s">
        <v>1659</v>
      </c>
      <c r="F771" s="55" t="s">
        <v>390</v>
      </c>
      <c r="G771" s="55" t="s">
        <v>391</v>
      </c>
      <c r="H771" s="50" t="s">
        <v>1660</v>
      </c>
    </row>
    <row r="772" spans="3:8" x14ac:dyDescent="0.2">
      <c r="C772" s="195">
        <v>44543</v>
      </c>
      <c r="D772" s="55">
        <v>280</v>
      </c>
      <c r="E772" s="55" t="s">
        <v>1661</v>
      </c>
      <c r="F772" s="55" t="s">
        <v>231</v>
      </c>
      <c r="G772" s="55" t="s">
        <v>371</v>
      </c>
      <c r="H772" s="50" t="s">
        <v>1662</v>
      </c>
    </row>
    <row r="773" spans="3:8" x14ac:dyDescent="0.2">
      <c r="C773" s="195">
        <v>44538</v>
      </c>
      <c r="D773" s="55">
        <v>280</v>
      </c>
      <c r="E773" s="55" t="s">
        <v>1663</v>
      </c>
      <c r="F773" s="55" t="s">
        <v>196</v>
      </c>
      <c r="G773" s="55" t="s">
        <v>464</v>
      </c>
      <c r="H773" s="50" t="s">
        <v>1664</v>
      </c>
    </row>
    <row r="774" spans="3:8" x14ac:dyDescent="0.2">
      <c r="C774" s="195">
        <v>44559</v>
      </c>
      <c r="D774" s="55">
        <v>260</v>
      </c>
      <c r="E774" s="55" t="s">
        <v>1665</v>
      </c>
      <c r="F774" s="55" t="s">
        <v>206</v>
      </c>
      <c r="G774" s="55" t="s">
        <v>228</v>
      </c>
      <c r="H774" s="50" t="s">
        <v>1666</v>
      </c>
    </row>
    <row r="775" spans="3:8" x14ac:dyDescent="0.2">
      <c r="C775" s="195">
        <v>44559</v>
      </c>
      <c r="D775" s="55">
        <v>280</v>
      </c>
      <c r="E775" s="55" t="s">
        <v>1667</v>
      </c>
      <c r="F775" s="55" t="s">
        <v>231</v>
      </c>
      <c r="G775" s="55" t="s">
        <v>435</v>
      </c>
      <c r="H775" s="50" t="s">
        <v>1668</v>
      </c>
    </row>
    <row r="776" spans="3:8" x14ac:dyDescent="0.2">
      <c r="C776" s="195">
        <v>44531</v>
      </c>
      <c r="D776" s="55">
        <v>260</v>
      </c>
      <c r="E776" s="55" t="s">
        <v>1669</v>
      </c>
      <c r="F776" s="55" t="s">
        <v>192</v>
      </c>
      <c r="G776" s="55" t="s">
        <v>563</v>
      </c>
      <c r="H776" s="50" t="s">
        <v>1670</v>
      </c>
    </row>
    <row r="777" spans="3:8" x14ac:dyDescent="0.2">
      <c r="C777" s="195">
        <v>44531</v>
      </c>
      <c r="D777" s="55">
        <v>260</v>
      </c>
      <c r="E777" s="55" t="s">
        <v>1671</v>
      </c>
      <c r="F777" s="55" t="s">
        <v>210</v>
      </c>
      <c r="G777" s="55" t="s">
        <v>883</v>
      </c>
      <c r="H777" s="50" t="s">
        <v>1672</v>
      </c>
    </row>
    <row r="778" spans="3:8" x14ac:dyDescent="0.2">
      <c r="C778" s="195">
        <v>44558</v>
      </c>
      <c r="D778" s="55">
        <v>280</v>
      </c>
      <c r="E778" s="55" t="s">
        <v>1673</v>
      </c>
      <c r="F778" s="55" t="s">
        <v>219</v>
      </c>
      <c r="G778" s="55" t="s">
        <v>220</v>
      </c>
      <c r="H778" s="50" t="s">
        <v>1674</v>
      </c>
    </row>
    <row r="779" spans="3:8" x14ac:dyDescent="0.2">
      <c r="C779" s="195">
        <v>44551</v>
      </c>
      <c r="D779" s="55">
        <v>260</v>
      </c>
      <c r="E779" s="55" t="s">
        <v>1675</v>
      </c>
      <c r="F779" s="55" t="s">
        <v>244</v>
      </c>
      <c r="G779" s="55" t="s">
        <v>378</v>
      </c>
      <c r="H779" s="50" t="s">
        <v>1676</v>
      </c>
    </row>
    <row r="780" spans="3:8" x14ac:dyDescent="0.2">
      <c r="C780" s="195">
        <v>44551</v>
      </c>
      <c r="D780" s="55">
        <v>260</v>
      </c>
      <c r="E780" s="55" t="s">
        <v>1677</v>
      </c>
      <c r="F780" s="55" t="s">
        <v>231</v>
      </c>
      <c r="G780" s="55" t="s">
        <v>782</v>
      </c>
      <c r="H780" s="50" t="s">
        <v>1678</v>
      </c>
    </row>
    <row r="781" spans="3:8" x14ac:dyDescent="0.2">
      <c r="C781" s="195">
        <v>44532</v>
      </c>
      <c r="D781" s="55">
        <v>260</v>
      </c>
      <c r="E781" s="55" t="s">
        <v>1679</v>
      </c>
      <c r="F781" s="55" t="s">
        <v>206</v>
      </c>
      <c r="G781" s="55" t="s">
        <v>676</v>
      </c>
      <c r="H781" s="50" t="s">
        <v>1680</v>
      </c>
    </row>
    <row r="782" spans="3:8" x14ac:dyDescent="0.2">
      <c r="C782" s="195">
        <v>44560</v>
      </c>
      <c r="D782" s="55">
        <v>260</v>
      </c>
      <c r="E782" s="55" t="s">
        <v>1681</v>
      </c>
      <c r="F782" s="55" t="s">
        <v>291</v>
      </c>
      <c r="G782" s="55" t="s">
        <v>819</v>
      </c>
      <c r="H782" s="50" t="s">
        <v>1682</v>
      </c>
    </row>
    <row r="783" spans="3:8" x14ac:dyDescent="0.2">
      <c r="C783" s="195">
        <v>44547</v>
      </c>
      <c r="D783" s="55">
        <v>280</v>
      </c>
      <c r="E783" s="55" t="s">
        <v>1683</v>
      </c>
      <c r="F783" s="55" t="s">
        <v>267</v>
      </c>
      <c r="G783" s="55" t="s">
        <v>813</v>
      </c>
      <c r="H783" s="50" t="s">
        <v>224</v>
      </c>
    </row>
    <row r="784" spans="3:8" x14ac:dyDescent="0.2">
      <c r="C784" s="195">
        <v>44552</v>
      </c>
      <c r="D784" s="55">
        <v>260</v>
      </c>
      <c r="E784" s="55" t="s">
        <v>1684</v>
      </c>
      <c r="F784" s="55" t="s">
        <v>192</v>
      </c>
      <c r="G784" s="55" t="s">
        <v>1685</v>
      </c>
      <c r="H784" s="50" t="s">
        <v>1686</v>
      </c>
    </row>
    <row r="785" spans="1:62" x14ac:dyDescent="0.2">
      <c r="A785" s="57">
        <v>1221</v>
      </c>
      <c r="B785" t="s">
        <v>836</v>
      </c>
      <c r="C785" s="195">
        <v>44550</v>
      </c>
      <c r="D785" s="55">
        <v>260</v>
      </c>
      <c r="E785" s="55" t="s">
        <v>1687</v>
      </c>
      <c r="F785" s="55" t="s">
        <v>231</v>
      </c>
      <c r="G785" s="55" t="s">
        <v>232</v>
      </c>
      <c r="H785" s="50" t="s">
        <v>224</v>
      </c>
      <c r="I785" s="46" t="s">
        <v>837</v>
      </c>
    </row>
    <row r="786" spans="1:62" x14ac:dyDescent="0.2">
      <c r="C786" s="195">
        <v>44532</v>
      </c>
      <c r="D786" s="55">
        <v>280</v>
      </c>
      <c r="E786" s="55" t="s">
        <v>1688</v>
      </c>
      <c r="F786" s="55" t="s">
        <v>267</v>
      </c>
      <c r="G786" s="55" t="s">
        <v>708</v>
      </c>
    </row>
    <row r="787" spans="1:62" x14ac:dyDescent="0.2">
      <c r="C787" s="195">
        <v>44559</v>
      </c>
      <c r="D787" s="55">
        <v>280</v>
      </c>
      <c r="E787" s="55" t="s">
        <v>1689</v>
      </c>
      <c r="F787" s="55" t="s">
        <v>206</v>
      </c>
      <c r="G787" s="55" t="s">
        <v>228</v>
      </c>
      <c r="H787" s="50" t="s">
        <v>1690</v>
      </c>
    </row>
    <row r="788" spans="1:62" x14ac:dyDescent="0.2">
      <c r="C788" s="195">
        <v>44536</v>
      </c>
      <c r="D788" s="55">
        <v>280</v>
      </c>
      <c r="E788" s="55" t="s">
        <v>1691</v>
      </c>
      <c r="F788" s="55" t="s">
        <v>210</v>
      </c>
      <c r="G788" s="55" t="s">
        <v>306</v>
      </c>
      <c r="H788" s="50" t="s">
        <v>1692</v>
      </c>
    </row>
    <row r="789" spans="1:62" x14ac:dyDescent="0.2">
      <c r="C789" s="195">
        <v>44537</v>
      </c>
      <c r="D789" s="55">
        <v>280</v>
      </c>
      <c r="E789" s="55" t="s">
        <v>1693</v>
      </c>
      <c r="F789" s="55" t="s">
        <v>210</v>
      </c>
      <c r="G789" s="55" t="s">
        <v>496</v>
      </c>
      <c r="H789" s="50" t="s">
        <v>224</v>
      </c>
    </row>
    <row r="790" spans="1:62" x14ac:dyDescent="0.2">
      <c r="C790" s="195">
        <v>44532</v>
      </c>
      <c r="D790" s="55">
        <v>260</v>
      </c>
      <c r="E790" s="55" t="s">
        <v>1694</v>
      </c>
      <c r="F790" s="55" t="s">
        <v>267</v>
      </c>
      <c r="G790" s="55" t="s">
        <v>331</v>
      </c>
      <c r="H790" s="50" t="s">
        <v>1695</v>
      </c>
    </row>
    <row r="791" spans="1:62" x14ac:dyDescent="0.2">
      <c r="A791" s="57">
        <v>1221</v>
      </c>
      <c r="B791" s="162" t="s">
        <v>836</v>
      </c>
      <c r="C791" s="195">
        <v>44551</v>
      </c>
      <c r="D791" s="55">
        <v>260</v>
      </c>
      <c r="E791" s="55" t="s">
        <v>1696</v>
      </c>
      <c r="F791" s="55" t="s">
        <v>272</v>
      </c>
      <c r="G791" s="55" t="s">
        <v>1040</v>
      </c>
      <c r="H791" s="50" t="s">
        <v>224</v>
      </c>
      <c r="I791" s="46" t="s">
        <v>839</v>
      </c>
      <c r="J791" s="52">
        <v>1</v>
      </c>
      <c r="K791" s="52">
        <v>1</v>
      </c>
      <c r="O791" s="1">
        <v>1</v>
      </c>
      <c r="S791" s="1">
        <v>1</v>
      </c>
      <c r="W791" s="1">
        <v>1</v>
      </c>
      <c r="AA791" s="1">
        <v>1</v>
      </c>
      <c r="AG791">
        <v>1</v>
      </c>
      <c r="AM791">
        <v>1</v>
      </c>
      <c r="AN791">
        <v>4</v>
      </c>
      <c r="AO791">
        <v>4</v>
      </c>
      <c r="AP791">
        <v>4</v>
      </c>
      <c r="AQ791">
        <v>4</v>
      </c>
      <c r="AR791">
        <v>4</v>
      </c>
      <c r="AS791">
        <v>1</v>
      </c>
      <c r="AT791">
        <v>1</v>
      </c>
      <c r="AU791">
        <v>1</v>
      </c>
      <c r="AZ791">
        <v>1</v>
      </c>
      <c r="BA791">
        <v>1</v>
      </c>
      <c r="BB791">
        <v>1</v>
      </c>
      <c r="BC791">
        <v>1</v>
      </c>
      <c r="BD791">
        <v>1</v>
      </c>
      <c r="BE791">
        <v>1</v>
      </c>
      <c r="BJ791">
        <v>1</v>
      </c>
    </row>
    <row r="792" spans="1:62" x14ac:dyDescent="0.2">
      <c r="C792" s="195">
        <v>44544</v>
      </c>
      <c r="D792" s="55">
        <v>260</v>
      </c>
      <c r="E792" s="55" t="s">
        <v>1697</v>
      </c>
      <c r="F792" s="55" t="s">
        <v>231</v>
      </c>
      <c r="G792" s="55" t="s">
        <v>435</v>
      </c>
      <c r="H792" s="50" t="s">
        <v>1698</v>
      </c>
    </row>
    <row r="793" spans="1:62" x14ac:dyDescent="0.2">
      <c r="C793" s="195">
        <v>44551</v>
      </c>
      <c r="D793" s="55">
        <v>280</v>
      </c>
      <c r="E793" s="55" t="s">
        <v>1699</v>
      </c>
      <c r="F793" s="55" t="s">
        <v>231</v>
      </c>
      <c r="G793" s="55" t="s">
        <v>232</v>
      </c>
      <c r="H793" s="50" t="s">
        <v>1700</v>
      </c>
    </row>
    <row r="794" spans="1:62" x14ac:dyDescent="0.2">
      <c r="C794" s="195">
        <v>44558</v>
      </c>
      <c r="D794" s="55">
        <v>280</v>
      </c>
      <c r="E794" s="55" t="s">
        <v>1701</v>
      </c>
      <c r="F794" s="55" t="s">
        <v>219</v>
      </c>
      <c r="G794" s="55" t="s">
        <v>451</v>
      </c>
      <c r="H794" s="50" t="s">
        <v>1702</v>
      </c>
    </row>
    <row r="795" spans="1:62" x14ac:dyDescent="0.2">
      <c r="C795" s="195">
        <v>44546</v>
      </c>
      <c r="D795" s="55">
        <v>280</v>
      </c>
      <c r="E795" s="55" t="s">
        <v>1703</v>
      </c>
      <c r="F795" s="55" t="s">
        <v>196</v>
      </c>
      <c r="G795" s="55" t="s">
        <v>415</v>
      </c>
      <c r="H795" s="50" t="s">
        <v>1704</v>
      </c>
    </row>
    <row r="796" spans="1:62" x14ac:dyDescent="0.2">
      <c r="C796" s="195">
        <v>44545</v>
      </c>
      <c r="D796" s="55">
        <v>260</v>
      </c>
      <c r="E796" s="55" t="s">
        <v>1705</v>
      </c>
      <c r="F796" s="55" t="s">
        <v>202</v>
      </c>
      <c r="G796" s="55" t="s">
        <v>341</v>
      </c>
      <c r="H796" s="50" t="s">
        <v>224</v>
      </c>
    </row>
    <row r="797" spans="1:62" x14ac:dyDescent="0.2">
      <c r="C797" s="195">
        <v>44558</v>
      </c>
      <c r="D797" s="55">
        <v>260</v>
      </c>
      <c r="E797" s="55" t="s">
        <v>1706</v>
      </c>
      <c r="F797" s="55" t="s">
        <v>231</v>
      </c>
      <c r="G797" s="55" t="s">
        <v>232</v>
      </c>
      <c r="H797" s="50" t="s">
        <v>1707</v>
      </c>
    </row>
    <row r="798" spans="1:62" x14ac:dyDescent="0.2">
      <c r="C798" s="195">
        <v>44552</v>
      </c>
      <c r="D798" s="55">
        <v>280</v>
      </c>
      <c r="E798" s="55" t="s">
        <v>1708</v>
      </c>
      <c r="F798" s="55" t="s">
        <v>231</v>
      </c>
      <c r="G798" s="55" t="s">
        <v>1098</v>
      </c>
      <c r="H798" s="50" t="s">
        <v>1709</v>
      </c>
    </row>
    <row r="799" spans="1:62" x14ac:dyDescent="0.2">
      <c r="C799" s="195">
        <v>44532</v>
      </c>
      <c r="D799" s="55">
        <v>260</v>
      </c>
      <c r="E799" s="55" t="s">
        <v>1710</v>
      </c>
      <c r="F799" s="55" t="s">
        <v>267</v>
      </c>
      <c r="G799" s="55" t="s">
        <v>331</v>
      </c>
    </row>
    <row r="800" spans="1:62" x14ac:dyDescent="0.2">
      <c r="C800" s="195">
        <v>44544</v>
      </c>
      <c r="D800" s="55">
        <v>280</v>
      </c>
      <c r="E800" s="55" t="s">
        <v>1711</v>
      </c>
      <c r="F800" s="55" t="s">
        <v>231</v>
      </c>
      <c r="G800" s="55" t="s">
        <v>782</v>
      </c>
      <c r="H800" s="50" t="s">
        <v>1712</v>
      </c>
    </row>
    <row r="801" spans="3:8" x14ac:dyDescent="0.2">
      <c r="C801" s="195">
        <v>44559</v>
      </c>
      <c r="D801" s="55">
        <v>280</v>
      </c>
      <c r="E801" s="55" t="s">
        <v>1713</v>
      </c>
      <c r="F801" s="55" t="s">
        <v>192</v>
      </c>
      <c r="G801" s="55" t="s">
        <v>401</v>
      </c>
      <c r="H801" s="50" t="s">
        <v>224</v>
      </c>
    </row>
    <row r="802" spans="3:8" x14ac:dyDescent="0.2">
      <c r="C802" s="195">
        <v>44557</v>
      </c>
      <c r="D802" s="55">
        <v>260</v>
      </c>
      <c r="E802" s="55" t="s">
        <v>1714</v>
      </c>
      <c r="F802" s="55" t="s">
        <v>263</v>
      </c>
      <c r="G802" s="55" t="s">
        <v>633</v>
      </c>
      <c r="H802" s="50" t="s">
        <v>1715</v>
      </c>
    </row>
    <row r="803" spans="3:8" x14ac:dyDescent="0.2">
      <c r="C803" s="195">
        <v>44546</v>
      </c>
      <c r="D803" s="55">
        <v>280</v>
      </c>
      <c r="E803" s="55" t="s">
        <v>1716</v>
      </c>
      <c r="F803" s="55" t="s">
        <v>390</v>
      </c>
      <c r="G803" s="55" t="s">
        <v>1717</v>
      </c>
      <c r="H803" s="50" t="s">
        <v>1718</v>
      </c>
    </row>
    <row r="804" spans="3:8" x14ac:dyDescent="0.2">
      <c r="C804" s="195">
        <v>44560</v>
      </c>
      <c r="D804" s="55">
        <v>280</v>
      </c>
      <c r="E804" s="55" t="s">
        <v>1719</v>
      </c>
      <c r="F804" s="55" t="s">
        <v>390</v>
      </c>
      <c r="G804" s="55" t="s">
        <v>590</v>
      </c>
      <c r="H804" s="50" t="s">
        <v>1720</v>
      </c>
    </row>
    <row r="805" spans="3:8" x14ac:dyDescent="0.2">
      <c r="C805" s="195">
        <v>44546</v>
      </c>
      <c r="D805" s="55">
        <v>260</v>
      </c>
      <c r="E805" s="55" t="s">
        <v>1721</v>
      </c>
      <c r="F805" s="55" t="s">
        <v>202</v>
      </c>
      <c r="G805" s="55" t="s">
        <v>1146</v>
      </c>
      <c r="H805" s="50" t="s">
        <v>1722</v>
      </c>
    </row>
    <row r="806" spans="3:8" x14ac:dyDescent="0.2">
      <c r="C806" s="195">
        <v>44551</v>
      </c>
      <c r="D806" s="55">
        <v>260</v>
      </c>
      <c r="E806" s="55" t="s">
        <v>1723</v>
      </c>
      <c r="F806" s="55" t="s">
        <v>390</v>
      </c>
      <c r="G806" s="55" t="s">
        <v>922</v>
      </c>
      <c r="H806" s="50" t="s">
        <v>1724</v>
      </c>
    </row>
    <row r="807" spans="3:8" x14ac:dyDescent="0.2">
      <c r="C807" s="195">
        <v>44558</v>
      </c>
      <c r="D807" s="55">
        <v>280</v>
      </c>
      <c r="E807" s="55" t="s">
        <v>1725</v>
      </c>
      <c r="F807" s="55" t="s">
        <v>231</v>
      </c>
      <c r="G807" s="55" t="s">
        <v>782</v>
      </c>
      <c r="H807" s="50" t="s">
        <v>1726</v>
      </c>
    </row>
    <row r="808" spans="3:8" x14ac:dyDescent="0.2">
      <c r="C808" s="195">
        <v>44550</v>
      </c>
      <c r="D808" s="55">
        <v>260</v>
      </c>
      <c r="E808" s="55" t="s">
        <v>1727</v>
      </c>
      <c r="F808" s="55" t="s">
        <v>206</v>
      </c>
      <c r="G808" s="55" t="s">
        <v>568</v>
      </c>
      <c r="H808" s="50" t="s">
        <v>1728</v>
      </c>
    </row>
    <row r="809" spans="3:8" x14ac:dyDescent="0.2">
      <c r="C809" s="195">
        <v>44558</v>
      </c>
      <c r="D809" s="55">
        <v>260</v>
      </c>
      <c r="E809" s="55" t="s">
        <v>1729</v>
      </c>
      <c r="F809" s="55" t="s">
        <v>390</v>
      </c>
      <c r="G809" s="55" t="s">
        <v>391</v>
      </c>
      <c r="H809" s="50" t="s">
        <v>1730</v>
      </c>
    </row>
    <row r="810" spans="3:8" x14ac:dyDescent="0.2">
      <c r="C810" s="195">
        <v>44531</v>
      </c>
      <c r="D810" s="55">
        <v>260</v>
      </c>
      <c r="E810" s="55" t="s">
        <v>1731</v>
      </c>
      <c r="F810" s="55" t="s">
        <v>219</v>
      </c>
      <c r="G810" s="55" t="s">
        <v>1732</v>
      </c>
      <c r="H810" s="50" t="s">
        <v>1733</v>
      </c>
    </row>
    <row r="811" spans="3:8" x14ac:dyDescent="0.2">
      <c r="C811" s="195">
        <v>44560</v>
      </c>
      <c r="D811" s="55">
        <v>260</v>
      </c>
      <c r="E811" s="55" t="s">
        <v>1734</v>
      </c>
      <c r="F811" s="55" t="s">
        <v>263</v>
      </c>
      <c r="G811" s="55" t="s">
        <v>264</v>
      </c>
      <c r="H811" s="50" t="s">
        <v>1735</v>
      </c>
    </row>
    <row r="812" spans="3:8" x14ac:dyDescent="0.2">
      <c r="C812" s="195">
        <v>44538</v>
      </c>
      <c r="D812" s="55">
        <v>260</v>
      </c>
      <c r="E812" s="55" t="s">
        <v>1736</v>
      </c>
      <c r="F812" s="55" t="s">
        <v>210</v>
      </c>
      <c r="G812" s="55" t="s">
        <v>1095</v>
      </c>
      <c r="H812" s="50" t="s">
        <v>1737</v>
      </c>
    </row>
    <row r="813" spans="3:8" x14ac:dyDescent="0.2">
      <c r="C813" s="195">
        <v>44536</v>
      </c>
      <c r="D813" s="55">
        <v>260</v>
      </c>
      <c r="E813" s="55" t="s">
        <v>1738</v>
      </c>
      <c r="F813" s="55" t="s">
        <v>196</v>
      </c>
      <c r="G813" s="55" t="s">
        <v>645</v>
      </c>
    </row>
    <row r="814" spans="3:8" x14ac:dyDescent="0.2">
      <c r="C814" s="195">
        <v>44558</v>
      </c>
      <c r="D814" s="55">
        <v>260</v>
      </c>
      <c r="E814" s="55" t="s">
        <v>1739</v>
      </c>
      <c r="F814" s="55" t="s">
        <v>291</v>
      </c>
      <c r="G814" s="55" t="s">
        <v>1247</v>
      </c>
      <c r="H814" s="50" t="s">
        <v>224</v>
      </c>
    </row>
    <row r="815" spans="3:8" x14ac:dyDescent="0.2">
      <c r="C815" s="195">
        <v>44540</v>
      </c>
      <c r="D815" s="55">
        <v>280</v>
      </c>
      <c r="E815" s="55" t="s">
        <v>1740</v>
      </c>
      <c r="F815" s="55" t="s">
        <v>272</v>
      </c>
      <c r="G815" s="55" t="s">
        <v>366</v>
      </c>
      <c r="H815" s="50" t="s">
        <v>1741</v>
      </c>
    </row>
    <row r="816" spans="3:8" x14ac:dyDescent="0.2">
      <c r="C816" s="195">
        <v>44532</v>
      </c>
      <c r="D816" s="55">
        <v>260</v>
      </c>
      <c r="E816" s="55" t="s">
        <v>1742</v>
      </c>
      <c r="F816" s="55" t="s">
        <v>219</v>
      </c>
      <c r="G816" s="55" t="s">
        <v>223</v>
      </c>
      <c r="H816" s="50" t="s">
        <v>1743</v>
      </c>
    </row>
    <row r="817" spans="1:9" x14ac:dyDescent="0.2">
      <c r="C817" s="195">
        <v>44531</v>
      </c>
      <c r="D817" s="55">
        <v>280</v>
      </c>
      <c r="E817" s="55" t="s">
        <v>1744</v>
      </c>
      <c r="F817" s="55" t="s">
        <v>263</v>
      </c>
      <c r="G817" s="55" t="s">
        <v>1005</v>
      </c>
      <c r="H817" s="50" t="s">
        <v>224</v>
      </c>
    </row>
    <row r="818" spans="1:9" x14ac:dyDescent="0.2">
      <c r="C818" s="195">
        <v>44547</v>
      </c>
      <c r="D818" s="55">
        <v>260</v>
      </c>
      <c r="E818" s="55" t="s">
        <v>1745</v>
      </c>
      <c r="F818" s="55" t="s">
        <v>267</v>
      </c>
      <c r="G818" s="55" t="s">
        <v>535</v>
      </c>
      <c r="H818" s="50" t="s">
        <v>1746</v>
      </c>
    </row>
    <row r="819" spans="1:9" x14ac:dyDescent="0.2">
      <c r="C819" s="195">
        <v>44531</v>
      </c>
      <c r="D819" s="55">
        <v>280</v>
      </c>
      <c r="E819" s="55" t="s">
        <v>1747</v>
      </c>
      <c r="F819" s="55" t="s">
        <v>231</v>
      </c>
      <c r="G819" s="55" t="s">
        <v>1098</v>
      </c>
      <c r="H819" s="50" t="s">
        <v>1748</v>
      </c>
    </row>
    <row r="820" spans="1:9" x14ac:dyDescent="0.2">
      <c r="C820" s="195">
        <v>44551</v>
      </c>
      <c r="D820" s="55">
        <v>280</v>
      </c>
      <c r="E820" s="55" t="s">
        <v>1749</v>
      </c>
      <c r="F820" s="55" t="s">
        <v>390</v>
      </c>
      <c r="G820" s="55" t="s">
        <v>490</v>
      </c>
      <c r="H820" s="50" t="s">
        <v>1750</v>
      </c>
    </row>
    <row r="821" spans="1:9" x14ac:dyDescent="0.2">
      <c r="C821" s="195">
        <v>44552</v>
      </c>
      <c r="D821" s="55">
        <v>260</v>
      </c>
      <c r="E821" s="55" t="s">
        <v>1751</v>
      </c>
      <c r="F821" s="55" t="s">
        <v>192</v>
      </c>
      <c r="G821" s="55" t="s">
        <v>563</v>
      </c>
      <c r="H821" s="50" t="s">
        <v>1752</v>
      </c>
    </row>
    <row r="822" spans="1:9" x14ac:dyDescent="0.2">
      <c r="A822" s="57">
        <v>1221</v>
      </c>
      <c r="B822" t="s">
        <v>836</v>
      </c>
      <c r="C822" s="195">
        <v>44533</v>
      </c>
      <c r="D822" s="55">
        <v>280</v>
      </c>
      <c r="E822" s="55" t="s">
        <v>1753</v>
      </c>
      <c r="F822" s="55" t="s">
        <v>192</v>
      </c>
      <c r="G822" s="55" t="s">
        <v>401</v>
      </c>
      <c r="H822" s="50" t="s">
        <v>224</v>
      </c>
      <c r="I822" s="46" t="s">
        <v>837</v>
      </c>
    </row>
    <row r="823" spans="1:9" x14ac:dyDescent="0.2">
      <c r="C823" s="195">
        <v>44540</v>
      </c>
      <c r="D823" s="55">
        <v>280</v>
      </c>
      <c r="E823" s="55" t="s">
        <v>1754</v>
      </c>
      <c r="F823" s="55" t="s">
        <v>244</v>
      </c>
      <c r="G823" s="55" t="s">
        <v>294</v>
      </c>
      <c r="H823" s="50" t="s">
        <v>1755</v>
      </c>
    </row>
    <row r="824" spans="1:9" x14ac:dyDescent="0.2">
      <c r="C824" s="195">
        <v>44536</v>
      </c>
      <c r="D824" s="55">
        <v>260</v>
      </c>
      <c r="E824" s="55" t="s">
        <v>1756</v>
      </c>
      <c r="F824" s="55" t="s">
        <v>291</v>
      </c>
      <c r="G824" s="55" t="s">
        <v>643</v>
      </c>
      <c r="H824" s="50" t="s">
        <v>1757</v>
      </c>
    </row>
    <row r="825" spans="1:9" x14ac:dyDescent="0.2">
      <c r="C825" s="195">
        <v>44539</v>
      </c>
      <c r="D825" s="55">
        <v>260</v>
      </c>
      <c r="E825" s="55" t="s">
        <v>1758</v>
      </c>
      <c r="F825" s="55" t="s">
        <v>267</v>
      </c>
      <c r="G825" s="55" t="s">
        <v>813</v>
      </c>
      <c r="H825" s="50" t="s">
        <v>1759</v>
      </c>
    </row>
    <row r="826" spans="1:9" x14ac:dyDescent="0.2">
      <c r="C826" s="195">
        <v>44536</v>
      </c>
      <c r="D826" s="55">
        <v>260</v>
      </c>
      <c r="E826" s="55" t="s">
        <v>1760</v>
      </c>
      <c r="F826" s="55" t="s">
        <v>231</v>
      </c>
      <c r="G826" s="55" t="s">
        <v>648</v>
      </c>
      <c r="H826" s="50" t="s">
        <v>1761</v>
      </c>
    </row>
    <row r="827" spans="1:9" x14ac:dyDescent="0.2">
      <c r="C827" s="195">
        <v>44543</v>
      </c>
      <c r="D827" s="55">
        <v>260</v>
      </c>
      <c r="E827" s="55" t="s">
        <v>1762</v>
      </c>
      <c r="F827" s="55" t="s">
        <v>202</v>
      </c>
      <c r="G827" s="55" t="s">
        <v>344</v>
      </c>
    </row>
    <row r="828" spans="1:9" x14ac:dyDescent="0.2">
      <c r="C828" s="195">
        <v>44557</v>
      </c>
      <c r="D828" s="55">
        <v>260</v>
      </c>
      <c r="E828" s="55" t="s">
        <v>1763</v>
      </c>
      <c r="F828" s="55" t="s">
        <v>202</v>
      </c>
      <c r="G828" s="55" t="s">
        <v>302</v>
      </c>
      <c r="H828" s="50" t="s">
        <v>1764</v>
      </c>
    </row>
    <row r="829" spans="1:9" x14ac:dyDescent="0.2">
      <c r="C829" s="195">
        <v>44538</v>
      </c>
      <c r="D829" s="55">
        <v>260</v>
      </c>
      <c r="E829" s="55" t="s">
        <v>1765</v>
      </c>
      <c r="F829" s="55" t="s">
        <v>202</v>
      </c>
      <c r="G829" s="55" t="s">
        <v>302</v>
      </c>
    </row>
    <row r="830" spans="1:9" x14ac:dyDescent="0.2">
      <c r="C830" s="195">
        <v>44547</v>
      </c>
      <c r="D830" s="55">
        <v>260</v>
      </c>
      <c r="E830" s="55" t="s">
        <v>1766</v>
      </c>
      <c r="F830" s="55" t="s">
        <v>231</v>
      </c>
      <c r="G830" s="55" t="s">
        <v>482</v>
      </c>
      <c r="H830" s="50" t="s">
        <v>224</v>
      </c>
    </row>
    <row r="831" spans="1:9" x14ac:dyDescent="0.2">
      <c r="C831" s="195">
        <v>44539</v>
      </c>
      <c r="D831" s="55">
        <v>280</v>
      </c>
      <c r="E831" s="55" t="s">
        <v>1767</v>
      </c>
      <c r="F831" s="55" t="s">
        <v>206</v>
      </c>
      <c r="G831" s="55" t="s">
        <v>207</v>
      </c>
      <c r="H831" s="50" t="s">
        <v>1768</v>
      </c>
    </row>
    <row r="832" spans="1:9" x14ac:dyDescent="0.2">
      <c r="C832" s="195">
        <v>44545</v>
      </c>
      <c r="D832" s="55">
        <v>260</v>
      </c>
      <c r="E832" s="55" t="s">
        <v>1769</v>
      </c>
      <c r="F832" s="55" t="s">
        <v>219</v>
      </c>
      <c r="G832" s="55" t="s">
        <v>1732</v>
      </c>
      <c r="H832" s="50" t="s">
        <v>1770</v>
      </c>
    </row>
    <row r="833" spans="1:62" x14ac:dyDescent="0.2">
      <c r="C833" s="195">
        <v>44560</v>
      </c>
      <c r="D833" s="55">
        <v>280</v>
      </c>
      <c r="E833" s="55" t="s">
        <v>1771</v>
      </c>
      <c r="F833" s="55" t="s">
        <v>390</v>
      </c>
      <c r="G833" s="55" t="s">
        <v>922</v>
      </c>
      <c r="H833" s="50" t="s">
        <v>224</v>
      </c>
    </row>
    <row r="834" spans="1:62" x14ac:dyDescent="0.2">
      <c r="C834" s="195">
        <v>44546</v>
      </c>
      <c r="D834" s="55">
        <v>280</v>
      </c>
      <c r="E834" s="55" t="s">
        <v>1772</v>
      </c>
      <c r="F834" s="55" t="s">
        <v>272</v>
      </c>
      <c r="G834" s="55" t="s">
        <v>533</v>
      </c>
      <c r="H834" s="50" t="s">
        <v>1773</v>
      </c>
    </row>
    <row r="835" spans="1:62" x14ac:dyDescent="0.2">
      <c r="C835" s="195">
        <v>44546</v>
      </c>
      <c r="D835" s="55">
        <v>260</v>
      </c>
      <c r="E835" s="55" t="s">
        <v>1774</v>
      </c>
      <c r="F835" s="55" t="s">
        <v>390</v>
      </c>
      <c r="G835" s="55" t="s">
        <v>590</v>
      </c>
      <c r="H835" s="50" t="s">
        <v>1775</v>
      </c>
    </row>
    <row r="836" spans="1:62" x14ac:dyDescent="0.2">
      <c r="C836" s="195">
        <v>44531</v>
      </c>
      <c r="D836" s="55">
        <v>280</v>
      </c>
      <c r="E836" s="55" t="s">
        <v>1776</v>
      </c>
      <c r="F836" s="55" t="s">
        <v>210</v>
      </c>
      <c r="G836" s="55" t="s">
        <v>383</v>
      </c>
      <c r="H836" s="50" t="s">
        <v>1777</v>
      </c>
    </row>
    <row r="837" spans="1:62" x14ac:dyDescent="0.2">
      <c r="C837" s="195">
        <v>44558</v>
      </c>
      <c r="D837" s="55">
        <v>280</v>
      </c>
      <c r="E837" s="55" t="s">
        <v>1778</v>
      </c>
      <c r="F837" s="55" t="s">
        <v>244</v>
      </c>
      <c r="G837" s="55" t="s">
        <v>696</v>
      </c>
      <c r="H837" s="50" t="s">
        <v>1779</v>
      </c>
    </row>
    <row r="838" spans="1:62" x14ac:dyDescent="0.2">
      <c r="C838" s="195">
        <v>44551</v>
      </c>
      <c r="D838" s="55">
        <v>280</v>
      </c>
      <c r="E838" s="55" t="s">
        <v>1780</v>
      </c>
      <c r="F838" s="55" t="s">
        <v>196</v>
      </c>
      <c r="G838" s="55" t="s">
        <v>464</v>
      </c>
      <c r="H838" s="50" t="s">
        <v>1781</v>
      </c>
    </row>
    <row r="839" spans="1:62" x14ac:dyDescent="0.2">
      <c r="C839" s="195">
        <v>44531</v>
      </c>
      <c r="D839" s="55">
        <v>260</v>
      </c>
      <c r="E839" s="55" t="s">
        <v>1782</v>
      </c>
      <c r="F839" s="55" t="s">
        <v>196</v>
      </c>
      <c r="G839" s="55" t="s">
        <v>557</v>
      </c>
      <c r="H839" s="50" t="s">
        <v>1783</v>
      </c>
    </row>
    <row r="840" spans="1:62" x14ac:dyDescent="0.2">
      <c r="C840" s="195">
        <v>44552</v>
      </c>
      <c r="D840" s="55">
        <v>280</v>
      </c>
      <c r="E840" s="55" t="s">
        <v>1784</v>
      </c>
      <c r="F840" s="55" t="s">
        <v>206</v>
      </c>
      <c r="G840" s="55" t="s">
        <v>228</v>
      </c>
      <c r="H840" s="50" t="s">
        <v>1785</v>
      </c>
    </row>
    <row r="841" spans="1:62" x14ac:dyDescent="0.2">
      <c r="C841" s="195">
        <v>44546</v>
      </c>
      <c r="D841" s="55">
        <v>260</v>
      </c>
      <c r="E841" s="55" t="s">
        <v>1786</v>
      </c>
      <c r="F841" s="55" t="s">
        <v>390</v>
      </c>
      <c r="G841" s="55" t="s">
        <v>408</v>
      </c>
      <c r="H841" s="50" t="s">
        <v>1787</v>
      </c>
    </row>
    <row r="842" spans="1:62" x14ac:dyDescent="0.2">
      <c r="C842" s="195">
        <v>44558</v>
      </c>
      <c r="D842" s="55">
        <v>260</v>
      </c>
      <c r="E842" s="55" t="s">
        <v>1788</v>
      </c>
      <c r="F842" s="55" t="s">
        <v>291</v>
      </c>
      <c r="G842" s="55" t="s">
        <v>819</v>
      </c>
      <c r="H842" s="50" t="s">
        <v>1789</v>
      </c>
    </row>
    <row r="843" spans="1:62" x14ac:dyDescent="0.2">
      <c r="A843" s="57">
        <v>1221</v>
      </c>
      <c r="B843" s="162" t="s">
        <v>836</v>
      </c>
      <c r="C843" s="195">
        <v>44544</v>
      </c>
      <c r="D843" s="55">
        <v>260</v>
      </c>
      <c r="E843" s="55" t="s">
        <v>1790</v>
      </c>
      <c r="F843" s="55" t="s">
        <v>206</v>
      </c>
      <c r="G843" s="55" t="s">
        <v>676</v>
      </c>
      <c r="I843" s="46" t="s">
        <v>839</v>
      </c>
      <c r="J843" s="52">
        <v>2</v>
      </c>
      <c r="K843" s="52">
        <v>1</v>
      </c>
      <c r="O843" s="1">
        <v>2</v>
      </c>
      <c r="S843" s="1">
        <v>1</v>
      </c>
      <c r="W843" s="1">
        <v>2</v>
      </c>
      <c r="AA843" s="1">
        <v>2</v>
      </c>
      <c r="AG843">
        <v>1</v>
      </c>
      <c r="AM843">
        <v>4</v>
      </c>
      <c r="AS843">
        <v>4</v>
      </c>
      <c r="AT843">
        <v>2</v>
      </c>
      <c r="AU843">
        <v>2</v>
      </c>
      <c r="AZ843">
        <v>1</v>
      </c>
      <c r="BA843">
        <v>3</v>
      </c>
      <c r="BB843">
        <v>1</v>
      </c>
      <c r="BC843">
        <v>1</v>
      </c>
      <c r="BD843">
        <v>3</v>
      </c>
      <c r="BE843">
        <v>2</v>
      </c>
      <c r="BJ843">
        <v>1</v>
      </c>
    </row>
    <row r="844" spans="1:62" x14ac:dyDescent="0.2">
      <c r="C844" s="195">
        <v>44532</v>
      </c>
      <c r="D844" s="55">
        <v>260</v>
      </c>
      <c r="E844" s="55" t="s">
        <v>1791</v>
      </c>
      <c r="F844" s="55" t="s">
        <v>219</v>
      </c>
      <c r="G844" s="55" t="s">
        <v>1732</v>
      </c>
      <c r="H844" s="50" t="s">
        <v>1792</v>
      </c>
    </row>
    <row r="845" spans="1:62" x14ac:dyDescent="0.2">
      <c r="C845" s="195">
        <v>44551</v>
      </c>
      <c r="D845" s="55">
        <v>260</v>
      </c>
      <c r="E845" s="55" t="s">
        <v>1793</v>
      </c>
      <c r="F845" s="55" t="s">
        <v>267</v>
      </c>
      <c r="G845" s="55" t="s">
        <v>268</v>
      </c>
      <c r="H845" s="50" t="s">
        <v>1794</v>
      </c>
    </row>
    <row r="846" spans="1:62" x14ac:dyDescent="0.2">
      <c r="C846" s="195">
        <v>44559</v>
      </c>
      <c r="D846" s="55">
        <v>260</v>
      </c>
      <c r="E846" s="55" t="s">
        <v>1795</v>
      </c>
      <c r="F846" s="55" t="s">
        <v>291</v>
      </c>
      <c r="G846" s="55" t="s">
        <v>1215</v>
      </c>
      <c r="H846" s="50" t="s">
        <v>1796</v>
      </c>
    </row>
    <row r="847" spans="1:62" x14ac:dyDescent="0.2">
      <c r="C847" s="195">
        <v>44547</v>
      </c>
      <c r="D847" s="55">
        <v>260</v>
      </c>
      <c r="E847" s="55" t="s">
        <v>1797</v>
      </c>
      <c r="F847" s="55" t="s">
        <v>202</v>
      </c>
      <c r="G847" s="55" t="s">
        <v>321</v>
      </c>
      <c r="H847" s="50" t="s">
        <v>1798</v>
      </c>
    </row>
    <row r="848" spans="1:62" x14ac:dyDescent="0.2">
      <c r="C848" s="195">
        <v>44559</v>
      </c>
      <c r="D848" s="55">
        <v>280</v>
      </c>
      <c r="E848" s="55" t="s">
        <v>1799</v>
      </c>
      <c r="F848" s="55" t="s">
        <v>291</v>
      </c>
      <c r="G848" s="55" t="s">
        <v>1215</v>
      </c>
      <c r="H848" s="50" t="s">
        <v>1800</v>
      </c>
    </row>
    <row r="849" spans="1:9" x14ac:dyDescent="0.2">
      <c r="C849" s="195">
        <v>44532</v>
      </c>
      <c r="D849" s="55">
        <v>280</v>
      </c>
      <c r="E849" s="55" t="s">
        <v>1801</v>
      </c>
      <c r="F849" s="55" t="s">
        <v>196</v>
      </c>
      <c r="G849" s="55" t="s">
        <v>645</v>
      </c>
      <c r="H849" s="50" t="s">
        <v>1802</v>
      </c>
    </row>
    <row r="850" spans="1:9" x14ac:dyDescent="0.2">
      <c r="C850" s="195">
        <v>44536</v>
      </c>
      <c r="D850" s="55">
        <v>260</v>
      </c>
      <c r="E850" s="55" t="s">
        <v>1803</v>
      </c>
      <c r="F850" s="55" t="s">
        <v>231</v>
      </c>
      <c r="G850" s="55" t="s">
        <v>648</v>
      </c>
      <c r="H850" s="50" t="s">
        <v>1804</v>
      </c>
    </row>
    <row r="851" spans="1:9" x14ac:dyDescent="0.2">
      <c r="C851" s="195">
        <v>44546</v>
      </c>
      <c r="D851" s="55">
        <v>280</v>
      </c>
      <c r="E851" s="55" t="s">
        <v>1805</v>
      </c>
      <c r="F851" s="55" t="s">
        <v>231</v>
      </c>
      <c r="G851" s="55" t="s">
        <v>371</v>
      </c>
      <c r="H851" s="50" t="s">
        <v>1806</v>
      </c>
    </row>
    <row r="852" spans="1:9" x14ac:dyDescent="0.2">
      <c r="C852" s="195">
        <v>44536</v>
      </c>
      <c r="D852" s="55">
        <v>280</v>
      </c>
      <c r="E852" s="55" t="s">
        <v>1807</v>
      </c>
      <c r="F852" s="55" t="s">
        <v>231</v>
      </c>
      <c r="G852" s="55" t="s">
        <v>435</v>
      </c>
      <c r="H852" s="50" t="s">
        <v>224</v>
      </c>
    </row>
    <row r="853" spans="1:9" x14ac:dyDescent="0.2">
      <c r="C853" s="195">
        <v>44532</v>
      </c>
      <c r="D853" s="55">
        <v>260</v>
      </c>
      <c r="E853" s="55" t="s">
        <v>1808</v>
      </c>
      <c r="F853" s="55" t="s">
        <v>219</v>
      </c>
      <c r="G853" s="55" t="s">
        <v>220</v>
      </c>
      <c r="H853" s="50" t="s">
        <v>1809</v>
      </c>
    </row>
    <row r="854" spans="1:9" x14ac:dyDescent="0.2">
      <c r="C854" s="195">
        <v>44544</v>
      </c>
      <c r="D854" s="55">
        <v>260</v>
      </c>
      <c r="E854" s="55" t="s">
        <v>1810</v>
      </c>
      <c r="F854" s="55" t="s">
        <v>210</v>
      </c>
      <c r="G854" s="55" t="s">
        <v>235</v>
      </c>
      <c r="H854" s="50" t="s">
        <v>1811</v>
      </c>
    </row>
    <row r="855" spans="1:9" x14ac:dyDescent="0.2">
      <c r="C855" s="195">
        <v>44536</v>
      </c>
      <c r="D855" s="55">
        <v>280</v>
      </c>
      <c r="E855" s="55" t="s">
        <v>1812</v>
      </c>
      <c r="F855" s="55" t="s">
        <v>244</v>
      </c>
      <c r="G855" s="55" t="s">
        <v>294</v>
      </c>
      <c r="H855" s="50" t="s">
        <v>224</v>
      </c>
    </row>
    <row r="856" spans="1:9" x14ac:dyDescent="0.2">
      <c r="A856" s="57">
        <v>1221</v>
      </c>
      <c r="B856" t="s">
        <v>836</v>
      </c>
      <c r="C856" s="195">
        <v>44531</v>
      </c>
      <c r="D856" s="55">
        <v>280</v>
      </c>
      <c r="E856" s="55" t="s">
        <v>1813</v>
      </c>
      <c r="F856" s="55" t="s">
        <v>267</v>
      </c>
      <c r="G856" s="55" t="s">
        <v>813</v>
      </c>
      <c r="H856" s="50" t="s">
        <v>224</v>
      </c>
      <c r="I856" s="46" t="s">
        <v>837</v>
      </c>
    </row>
    <row r="857" spans="1:9" x14ac:dyDescent="0.2">
      <c r="C857" s="195">
        <v>44532</v>
      </c>
      <c r="D857" s="55">
        <v>260</v>
      </c>
      <c r="E857" s="55" t="s">
        <v>1814</v>
      </c>
      <c r="F857" s="55" t="s">
        <v>219</v>
      </c>
      <c r="G857" s="55" t="s">
        <v>223</v>
      </c>
      <c r="H857" s="50" t="s">
        <v>1815</v>
      </c>
    </row>
    <row r="858" spans="1:9" x14ac:dyDescent="0.2">
      <c r="C858" s="195">
        <v>44559</v>
      </c>
      <c r="D858" s="55">
        <v>260</v>
      </c>
      <c r="E858" s="55" t="s">
        <v>1816</v>
      </c>
      <c r="F858" s="55" t="s">
        <v>272</v>
      </c>
      <c r="G858" s="55" t="s">
        <v>366</v>
      </c>
      <c r="H858" s="50" t="s">
        <v>1817</v>
      </c>
    </row>
    <row r="859" spans="1:9" x14ac:dyDescent="0.2">
      <c r="C859" s="195">
        <v>44559</v>
      </c>
      <c r="D859" s="55">
        <v>260</v>
      </c>
      <c r="E859" s="55" t="s">
        <v>1818</v>
      </c>
      <c r="F859" s="55" t="s">
        <v>390</v>
      </c>
      <c r="G859" s="55" t="s">
        <v>490</v>
      </c>
      <c r="H859" s="50" t="s">
        <v>1819</v>
      </c>
    </row>
    <row r="860" spans="1:9" x14ac:dyDescent="0.2">
      <c r="C860" s="195">
        <v>44538</v>
      </c>
      <c r="D860" s="55">
        <v>260</v>
      </c>
      <c r="E860" s="55" t="s">
        <v>1820</v>
      </c>
      <c r="F860" s="55" t="s">
        <v>390</v>
      </c>
      <c r="G860" s="55" t="s">
        <v>1446</v>
      </c>
      <c r="H860" s="50" t="s">
        <v>224</v>
      </c>
    </row>
    <row r="861" spans="1:9" x14ac:dyDescent="0.2">
      <c r="C861" s="195">
        <v>44550</v>
      </c>
      <c r="D861" s="55">
        <v>260</v>
      </c>
      <c r="E861" s="55" t="s">
        <v>1821</v>
      </c>
      <c r="F861" s="55" t="s">
        <v>196</v>
      </c>
      <c r="G861" s="55" t="s">
        <v>361</v>
      </c>
      <c r="H861" s="50" t="s">
        <v>1822</v>
      </c>
    </row>
    <row r="862" spans="1:9" x14ac:dyDescent="0.2">
      <c r="C862" s="195">
        <v>44546</v>
      </c>
      <c r="D862" s="55">
        <v>260</v>
      </c>
      <c r="E862" s="55" t="s">
        <v>1823</v>
      </c>
      <c r="F862" s="55" t="s">
        <v>219</v>
      </c>
      <c r="G862" s="55" t="s">
        <v>220</v>
      </c>
      <c r="H862" s="50" t="s">
        <v>1824</v>
      </c>
    </row>
    <row r="863" spans="1:9" x14ac:dyDescent="0.2">
      <c r="C863" s="195">
        <v>44560</v>
      </c>
      <c r="D863" s="55">
        <v>260</v>
      </c>
      <c r="E863" s="55" t="s">
        <v>1825</v>
      </c>
      <c r="F863" s="55" t="s">
        <v>210</v>
      </c>
      <c r="G863" s="55" t="s">
        <v>211</v>
      </c>
      <c r="H863" s="50" t="s">
        <v>1826</v>
      </c>
    </row>
    <row r="864" spans="1:9" x14ac:dyDescent="0.2">
      <c r="C864" s="195">
        <v>44551</v>
      </c>
      <c r="D864" s="55">
        <v>260</v>
      </c>
      <c r="E864" s="55" t="s">
        <v>1827</v>
      </c>
      <c r="F864" s="55" t="s">
        <v>231</v>
      </c>
      <c r="G864" s="55" t="s">
        <v>782</v>
      </c>
      <c r="H864" s="50" t="s">
        <v>1828</v>
      </c>
    </row>
    <row r="865" spans="3:8" x14ac:dyDescent="0.2">
      <c r="C865" s="195">
        <v>44546</v>
      </c>
      <c r="D865" s="55">
        <v>280</v>
      </c>
      <c r="E865" s="55" t="s">
        <v>1829</v>
      </c>
      <c r="F865" s="55" t="s">
        <v>192</v>
      </c>
      <c r="G865" s="55" t="s">
        <v>258</v>
      </c>
      <c r="H865" s="50" t="s">
        <v>1830</v>
      </c>
    </row>
    <row r="866" spans="3:8" x14ac:dyDescent="0.2">
      <c r="C866" s="195">
        <v>44560</v>
      </c>
      <c r="D866" s="55">
        <v>260</v>
      </c>
      <c r="E866" s="55" t="s">
        <v>1831</v>
      </c>
      <c r="F866" s="55" t="s">
        <v>192</v>
      </c>
      <c r="G866" s="55" t="s">
        <v>487</v>
      </c>
      <c r="H866" s="50" t="s">
        <v>1832</v>
      </c>
    </row>
    <row r="867" spans="3:8" x14ac:dyDescent="0.2">
      <c r="C867" s="195">
        <v>44552</v>
      </c>
      <c r="D867" s="55">
        <v>280</v>
      </c>
      <c r="E867" s="55" t="s">
        <v>1833</v>
      </c>
      <c r="F867" s="55" t="s">
        <v>267</v>
      </c>
      <c r="G867" s="55" t="s">
        <v>708</v>
      </c>
      <c r="H867" s="50" t="s">
        <v>1834</v>
      </c>
    </row>
    <row r="868" spans="3:8" x14ac:dyDescent="0.2">
      <c r="C868" s="195">
        <v>44531</v>
      </c>
      <c r="D868" s="55">
        <v>260</v>
      </c>
      <c r="E868" s="55" t="s">
        <v>1835</v>
      </c>
      <c r="F868" s="55" t="s">
        <v>196</v>
      </c>
      <c r="G868" s="55" t="s">
        <v>361</v>
      </c>
      <c r="H868" s="50" t="s">
        <v>1836</v>
      </c>
    </row>
    <row r="869" spans="3:8" x14ac:dyDescent="0.2">
      <c r="C869" s="195">
        <v>44536</v>
      </c>
      <c r="D869" s="55">
        <v>260</v>
      </c>
      <c r="E869" s="55" t="s">
        <v>1837</v>
      </c>
      <c r="F869" s="55" t="s">
        <v>202</v>
      </c>
      <c r="G869" s="55" t="s">
        <v>341</v>
      </c>
      <c r="H869" s="50" t="s">
        <v>1838</v>
      </c>
    </row>
    <row r="870" spans="3:8" x14ac:dyDescent="0.2">
      <c r="C870" s="195">
        <v>44557</v>
      </c>
      <c r="D870" s="55">
        <v>280</v>
      </c>
      <c r="E870" s="55" t="s">
        <v>1839</v>
      </c>
      <c r="F870" s="55" t="s">
        <v>192</v>
      </c>
      <c r="G870" s="55" t="s">
        <v>640</v>
      </c>
      <c r="H870" s="50" t="s">
        <v>1840</v>
      </c>
    </row>
    <row r="871" spans="3:8" x14ac:dyDescent="0.2">
      <c r="C871" s="195">
        <v>44547</v>
      </c>
      <c r="D871" s="55">
        <v>260</v>
      </c>
      <c r="E871" s="55" t="s">
        <v>1841</v>
      </c>
      <c r="F871" s="55" t="s">
        <v>263</v>
      </c>
      <c r="G871" s="55" t="s">
        <v>633</v>
      </c>
      <c r="H871" s="50" t="s">
        <v>224</v>
      </c>
    </row>
    <row r="872" spans="3:8" x14ac:dyDescent="0.2">
      <c r="C872" s="195">
        <v>44558</v>
      </c>
      <c r="D872" s="55">
        <v>260</v>
      </c>
      <c r="E872" s="55" t="s">
        <v>1842</v>
      </c>
      <c r="F872" s="55" t="s">
        <v>192</v>
      </c>
      <c r="G872" s="55" t="s">
        <v>193</v>
      </c>
      <c r="H872" s="50" t="s">
        <v>1843</v>
      </c>
    </row>
    <row r="873" spans="3:8" x14ac:dyDescent="0.2">
      <c r="C873" s="195">
        <v>44551</v>
      </c>
      <c r="D873" s="55">
        <v>260</v>
      </c>
      <c r="E873" s="55" t="s">
        <v>1844</v>
      </c>
      <c r="F873" s="55" t="s">
        <v>231</v>
      </c>
      <c r="G873" s="55" t="s">
        <v>255</v>
      </c>
      <c r="H873" s="50" t="s">
        <v>1845</v>
      </c>
    </row>
    <row r="874" spans="3:8" x14ac:dyDescent="0.2">
      <c r="C874" s="195">
        <v>44551</v>
      </c>
      <c r="D874" s="55">
        <v>260</v>
      </c>
      <c r="E874" s="55" t="s">
        <v>1846</v>
      </c>
      <c r="F874" s="55" t="s">
        <v>202</v>
      </c>
      <c r="G874" s="55" t="s">
        <v>341</v>
      </c>
      <c r="H874" s="50" t="s">
        <v>1847</v>
      </c>
    </row>
    <row r="875" spans="3:8" x14ac:dyDescent="0.2">
      <c r="C875" s="195">
        <v>44544</v>
      </c>
      <c r="D875" s="55">
        <v>260</v>
      </c>
      <c r="E875" s="55" t="s">
        <v>1848</v>
      </c>
      <c r="F875" s="55" t="s">
        <v>244</v>
      </c>
      <c r="G875" s="55" t="s">
        <v>1085</v>
      </c>
      <c r="H875" s="50" t="s">
        <v>1849</v>
      </c>
    </row>
    <row r="876" spans="3:8" x14ac:dyDescent="0.2">
      <c r="C876" s="195">
        <v>44532</v>
      </c>
      <c r="D876" s="55">
        <v>280</v>
      </c>
      <c r="E876" s="55" t="s">
        <v>1850</v>
      </c>
      <c r="F876" s="55" t="s">
        <v>202</v>
      </c>
      <c r="G876" s="55" t="s">
        <v>302</v>
      </c>
      <c r="H876" s="50" t="s">
        <v>1851</v>
      </c>
    </row>
    <row r="877" spans="3:8" x14ac:dyDescent="0.2">
      <c r="C877" s="195">
        <v>44558</v>
      </c>
      <c r="D877" s="55">
        <v>260</v>
      </c>
      <c r="E877" s="55" t="s">
        <v>1852</v>
      </c>
      <c r="F877" s="55" t="s">
        <v>219</v>
      </c>
      <c r="G877" s="55" t="s">
        <v>540</v>
      </c>
      <c r="H877" s="50" t="s">
        <v>1853</v>
      </c>
    </row>
    <row r="878" spans="3:8" x14ac:dyDescent="0.2">
      <c r="C878" s="195">
        <v>44557</v>
      </c>
      <c r="D878" s="55">
        <v>280</v>
      </c>
      <c r="E878" s="55" t="s">
        <v>1854</v>
      </c>
      <c r="F878" s="55" t="s">
        <v>272</v>
      </c>
      <c r="G878" s="55" t="s">
        <v>273</v>
      </c>
      <c r="H878" s="50" t="s">
        <v>224</v>
      </c>
    </row>
    <row r="879" spans="3:8" x14ac:dyDescent="0.2">
      <c r="C879" s="195">
        <v>44545</v>
      </c>
      <c r="D879" s="55">
        <v>260</v>
      </c>
      <c r="E879" s="55" t="s">
        <v>1855</v>
      </c>
      <c r="F879" s="55" t="s">
        <v>219</v>
      </c>
      <c r="G879" s="55" t="s">
        <v>220</v>
      </c>
      <c r="H879" s="50" t="s">
        <v>1856</v>
      </c>
    </row>
    <row r="880" spans="3:8" x14ac:dyDescent="0.2">
      <c r="C880" s="195">
        <v>44558</v>
      </c>
      <c r="D880" s="55">
        <v>280</v>
      </c>
      <c r="E880" s="55" t="s">
        <v>1857</v>
      </c>
      <c r="F880" s="55" t="s">
        <v>390</v>
      </c>
      <c r="G880" s="55" t="s">
        <v>779</v>
      </c>
      <c r="H880" s="50" t="s">
        <v>1858</v>
      </c>
    </row>
    <row r="881" spans="3:8" x14ac:dyDescent="0.2">
      <c r="C881" s="195">
        <v>44545</v>
      </c>
      <c r="D881" s="55">
        <v>280</v>
      </c>
      <c r="E881" s="55" t="s">
        <v>1859</v>
      </c>
      <c r="F881" s="55" t="s">
        <v>206</v>
      </c>
      <c r="G881" s="55" t="s">
        <v>338</v>
      </c>
      <c r="H881" s="50" t="s">
        <v>1860</v>
      </c>
    </row>
    <row r="882" spans="3:8" x14ac:dyDescent="0.2">
      <c r="C882" s="195">
        <v>44559</v>
      </c>
      <c r="D882" s="55">
        <v>280</v>
      </c>
      <c r="E882" s="55" t="s">
        <v>1861</v>
      </c>
      <c r="F882" s="55" t="s">
        <v>206</v>
      </c>
      <c r="G882" s="55" t="s">
        <v>548</v>
      </c>
      <c r="H882" s="50" t="s">
        <v>1862</v>
      </c>
    </row>
    <row r="883" spans="3:8" x14ac:dyDescent="0.2">
      <c r="C883" s="195">
        <v>44551</v>
      </c>
      <c r="D883" s="55">
        <v>280</v>
      </c>
      <c r="E883" s="55" t="s">
        <v>1863</v>
      </c>
      <c r="F883" s="55" t="s">
        <v>390</v>
      </c>
      <c r="G883" s="55" t="s">
        <v>671</v>
      </c>
      <c r="H883" s="50" t="s">
        <v>1864</v>
      </c>
    </row>
    <row r="884" spans="3:8" x14ac:dyDescent="0.2">
      <c r="C884" s="195">
        <v>44545</v>
      </c>
      <c r="D884" s="55">
        <v>260</v>
      </c>
      <c r="E884" s="55" t="s">
        <v>1865</v>
      </c>
      <c r="F884" s="55" t="s">
        <v>291</v>
      </c>
      <c r="G884" s="55" t="s">
        <v>607</v>
      </c>
      <c r="H884" s="50" t="s">
        <v>1866</v>
      </c>
    </row>
    <row r="885" spans="3:8" x14ac:dyDescent="0.2">
      <c r="C885" s="195">
        <v>44557</v>
      </c>
      <c r="D885" s="55">
        <v>260</v>
      </c>
      <c r="E885" s="55" t="s">
        <v>1867</v>
      </c>
      <c r="F885" s="55" t="s">
        <v>206</v>
      </c>
      <c r="G885" s="55" t="s">
        <v>228</v>
      </c>
      <c r="H885" s="50" t="s">
        <v>224</v>
      </c>
    </row>
    <row r="886" spans="3:8" x14ac:dyDescent="0.2">
      <c r="C886" s="195">
        <v>44557</v>
      </c>
      <c r="D886" s="55">
        <v>280</v>
      </c>
      <c r="E886" s="55" t="s">
        <v>1868</v>
      </c>
      <c r="F886" s="55" t="s">
        <v>272</v>
      </c>
      <c r="G886" s="55" t="s">
        <v>683</v>
      </c>
      <c r="H886" s="50" t="s">
        <v>1869</v>
      </c>
    </row>
    <row r="887" spans="3:8" x14ac:dyDescent="0.2">
      <c r="C887" s="195">
        <v>44559</v>
      </c>
      <c r="D887" s="55">
        <v>280</v>
      </c>
      <c r="E887" s="55" t="s">
        <v>1870</v>
      </c>
      <c r="F887" s="55" t="s">
        <v>192</v>
      </c>
      <c r="G887" s="55" t="s">
        <v>324</v>
      </c>
      <c r="H887" s="50" t="s">
        <v>1871</v>
      </c>
    </row>
    <row r="888" spans="3:8" x14ac:dyDescent="0.2">
      <c r="C888" s="195">
        <v>44532</v>
      </c>
      <c r="D888" s="55">
        <v>280</v>
      </c>
      <c r="E888" s="55" t="s">
        <v>1872</v>
      </c>
      <c r="F888" s="55" t="s">
        <v>219</v>
      </c>
      <c r="G888" s="55" t="s">
        <v>220</v>
      </c>
      <c r="H888" s="50" t="s">
        <v>1873</v>
      </c>
    </row>
    <row r="889" spans="3:8" x14ac:dyDescent="0.2">
      <c r="C889" s="195">
        <v>44559</v>
      </c>
      <c r="D889" s="55">
        <v>280</v>
      </c>
      <c r="E889" s="55" t="s">
        <v>1874</v>
      </c>
      <c r="F889" s="55" t="s">
        <v>291</v>
      </c>
      <c r="G889" s="55" t="s">
        <v>1215</v>
      </c>
      <c r="H889" s="50" t="s">
        <v>1875</v>
      </c>
    </row>
    <row r="890" spans="3:8" x14ac:dyDescent="0.2">
      <c r="C890" s="195">
        <v>44551</v>
      </c>
      <c r="D890" s="55">
        <v>280</v>
      </c>
      <c r="E890" s="55" t="s">
        <v>1876</v>
      </c>
      <c r="F890" s="55" t="s">
        <v>196</v>
      </c>
      <c r="G890" s="55" t="s">
        <v>415</v>
      </c>
      <c r="H890" s="50" t="s">
        <v>1877</v>
      </c>
    </row>
    <row r="891" spans="3:8" x14ac:dyDescent="0.2">
      <c r="C891" s="195">
        <v>44545</v>
      </c>
      <c r="D891" s="55">
        <v>260</v>
      </c>
      <c r="E891" s="55" t="s">
        <v>1878</v>
      </c>
      <c r="F891" s="55" t="s">
        <v>192</v>
      </c>
      <c r="G891" s="55" t="s">
        <v>401</v>
      </c>
      <c r="H891" s="50" t="s">
        <v>1879</v>
      </c>
    </row>
    <row r="892" spans="3:8" x14ac:dyDescent="0.2">
      <c r="C892" s="195">
        <v>44532</v>
      </c>
      <c r="D892" s="55">
        <v>280</v>
      </c>
      <c r="E892" s="55" t="s">
        <v>1880</v>
      </c>
      <c r="F892" s="55" t="s">
        <v>267</v>
      </c>
      <c r="G892" s="55" t="s">
        <v>331</v>
      </c>
      <c r="H892" s="50" t="s">
        <v>1881</v>
      </c>
    </row>
    <row r="893" spans="3:8" x14ac:dyDescent="0.2">
      <c r="C893" s="195">
        <v>44557</v>
      </c>
      <c r="D893" s="55">
        <v>260</v>
      </c>
      <c r="E893" s="55" t="s">
        <v>1882</v>
      </c>
      <c r="F893" s="55" t="s">
        <v>210</v>
      </c>
      <c r="G893" s="55" t="s">
        <v>496</v>
      </c>
      <c r="H893" s="50" t="s">
        <v>1883</v>
      </c>
    </row>
    <row r="894" spans="3:8" x14ac:dyDescent="0.2">
      <c r="C894" s="195">
        <v>44540</v>
      </c>
      <c r="D894" s="55">
        <v>280</v>
      </c>
      <c r="E894" s="55" t="s">
        <v>1884</v>
      </c>
      <c r="F894" s="55" t="s">
        <v>272</v>
      </c>
      <c r="G894" s="55" t="s">
        <v>683</v>
      </c>
      <c r="H894" s="50" t="s">
        <v>1885</v>
      </c>
    </row>
    <row r="895" spans="3:8" x14ac:dyDescent="0.2">
      <c r="C895" s="195">
        <v>44558</v>
      </c>
      <c r="D895" s="55">
        <v>260</v>
      </c>
      <c r="E895" s="55" t="s">
        <v>1886</v>
      </c>
      <c r="F895" s="55" t="s">
        <v>390</v>
      </c>
      <c r="G895" s="55" t="s">
        <v>671</v>
      </c>
      <c r="H895" s="50" t="s">
        <v>1887</v>
      </c>
    </row>
    <row r="896" spans="3:8" x14ac:dyDescent="0.2">
      <c r="C896" s="195">
        <v>44589</v>
      </c>
      <c r="D896" s="55">
        <v>280</v>
      </c>
      <c r="E896" s="55" t="s">
        <v>1888</v>
      </c>
      <c r="F896" s="55" t="s">
        <v>291</v>
      </c>
      <c r="G896" s="55" t="s">
        <v>607</v>
      </c>
      <c r="H896" s="50" t="s">
        <v>224</v>
      </c>
    </row>
    <row r="897" spans="3:8" x14ac:dyDescent="0.2">
      <c r="C897" s="195">
        <v>44566</v>
      </c>
      <c r="D897" s="55">
        <v>260</v>
      </c>
      <c r="E897" s="55" t="s">
        <v>1889</v>
      </c>
      <c r="F897" s="55" t="s">
        <v>291</v>
      </c>
      <c r="G897" s="55" t="s">
        <v>643</v>
      </c>
      <c r="H897" s="50" t="s">
        <v>1890</v>
      </c>
    </row>
    <row r="898" spans="3:8" x14ac:dyDescent="0.2">
      <c r="C898" s="195">
        <v>44588</v>
      </c>
      <c r="D898" s="55">
        <v>260</v>
      </c>
      <c r="E898" s="55" t="s">
        <v>1891</v>
      </c>
      <c r="F898" s="55" t="s">
        <v>192</v>
      </c>
      <c r="G898" s="55" t="s">
        <v>401</v>
      </c>
      <c r="H898" s="50" t="s">
        <v>224</v>
      </c>
    </row>
    <row r="899" spans="3:8" x14ac:dyDescent="0.2">
      <c r="C899" s="195">
        <v>44564</v>
      </c>
      <c r="D899" s="55">
        <v>260</v>
      </c>
      <c r="E899" s="55" t="s">
        <v>1892</v>
      </c>
      <c r="F899" s="55" t="s">
        <v>202</v>
      </c>
      <c r="G899" s="55" t="s">
        <v>321</v>
      </c>
      <c r="H899" s="50" t="s">
        <v>1893</v>
      </c>
    </row>
    <row r="900" spans="3:8" x14ac:dyDescent="0.2">
      <c r="C900" s="195">
        <v>44592</v>
      </c>
      <c r="D900" s="55">
        <v>280</v>
      </c>
      <c r="E900" s="55" t="s">
        <v>1894</v>
      </c>
      <c r="F900" s="55" t="s">
        <v>390</v>
      </c>
      <c r="G900" s="55" t="s">
        <v>656</v>
      </c>
      <c r="H900" s="50" t="s">
        <v>1895</v>
      </c>
    </row>
    <row r="901" spans="3:8" x14ac:dyDescent="0.2">
      <c r="C901" s="195">
        <v>44575</v>
      </c>
      <c r="D901" s="55">
        <v>260</v>
      </c>
      <c r="E901" s="55" t="s">
        <v>1896</v>
      </c>
      <c r="F901" s="55" t="s">
        <v>291</v>
      </c>
      <c r="G901" s="55" t="s">
        <v>607</v>
      </c>
      <c r="H901" s="50" t="s">
        <v>1897</v>
      </c>
    </row>
    <row r="902" spans="3:8" x14ac:dyDescent="0.2">
      <c r="C902" s="195">
        <v>44566</v>
      </c>
      <c r="D902" s="55">
        <v>260</v>
      </c>
      <c r="E902" s="55" t="s">
        <v>1898</v>
      </c>
      <c r="F902" s="55" t="s">
        <v>244</v>
      </c>
      <c r="G902" s="55" t="s">
        <v>696</v>
      </c>
      <c r="H902" s="50" t="s">
        <v>1899</v>
      </c>
    </row>
    <row r="903" spans="3:8" x14ac:dyDescent="0.2">
      <c r="C903" s="195">
        <v>44573</v>
      </c>
      <c r="D903" s="55">
        <v>260</v>
      </c>
      <c r="E903" s="55" t="s">
        <v>1900</v>
      </c>
      <c r="F903" s="55" t="s">
        <v>202</v>
      </c>
      <c r="G903" s="55" t="s">
        <v>341</v>
      </c>
      <c r="H903" s="50" t="s">
        <v>1901</v>
      </c>
    </row>
    <row r="904" spans="3:8" x14ac:dyDescent="0.2">
      <c r="C904" s="195">
        <v>44589</v>
      </c>
      <c r="D904" s="55">
        <v>280</v>
      </c>
      <c r="E904" s="55" t="s">
        <v>1902</v>
      </c>
      <c r="F904" s="55" t="s">
        <v>291</v>
      </c>
      <c r="G904" s="55" t="s">
        <v>643</v>
      </c>
      <c r="H904" s="50" t="s">
        <v>1903</v>
      </c>
    </row>
    <row r="905" spans="3:8" x14ac:dyDescent="0.2">
      <c r="C905" s="195">
        <v>44564</v>
      </c>
      <c r="D905" s="55">
        <v>260</v>
      </c>
      <c r="E905" s="55" t="s">
        <v>1904</v>
      </c>
      <c r="F905" s="55" t="s">
        <v>210</v>
      </c>
      <c r="G905" s="55" t="s">
        <v>383</v>
      </c>
    </row>
    <row r="906" spans="3:8" x14ac:dyDescent="0.2">
      <c r="C906" s="195">
        <v>44580</v>
      </c>
      <c r="D906" s="55">
        <v>260</v>
      </c>
      <c r="E906" s="55" t="s">
        <v>1905</v>
      </c>
      <c r="F906" s="55" t="s">
        <v>202</v>
      </c>
      <c r="G906" s="55" t="s">
        <v>341</v>
      </c>
      <c r="H906" s="50" t="s">
        <v>1906</v>
      </c>
    </row>
    <row r="907" spans="3:8" x14ac:dyDescent="0.2">
      <c r="C907" s="195">
        <v>44571</v>
      </c>
      <c r="D907" s="55">
        <v>260</v>
      </c>
      <c r="E907" s="55" t="s">
        <v>1907</v>
      </c>
      <c r="F907" s="55" t="s">
        <v>202</v>
      </c>
      <c r="G907" s="55" t="s">
        <v>344</v>
      </c>
      <c r="H907" s="50" t="s">
        <v>224</v>
      </c>
    </row>
    <row r="908" spans="3:8" x14ac:dyDescent="0.2">
      <c r="C908" s="195">
        <v>44589</v>
      </c>
      <c r="D908" s="55">
        <v>260</v>
      </c>
      <c r="E908" s="55" t="s">
        <v>1908</v>
      </c>
      <c r="F908" s="55" t="s">
        <v>219</v>
      </c>
      <c r="G908" s="55" t="s">
        <v>451</v>
      </c>
    </row>
    <row r="909" spans="3:8" x14ac:dyDescent="0.2">
      <c r="C909" s="195">
        <v>44574</v>
      </c>
      <c r="D909" s="55">
        <v>280</v>
      </c>
      <c r="E909" s="55" t="s">
        <v>1909</v>
      </c>
      <c r="F909" s="55" t="s">
        <v>244</v>
      </c>
      <c r="G909" s="55" t="s">
        <v>393</v>
      </c>
      <c r="H909" s="50" t="s">
        <v>1910</v>
      </c>
    </row>
    <row r="910" spans="3:8" x14ac:dyDescent="0.2">
      <c r="C910" s="195">
        <v>44580</v>
      </c>
      <c r="D910" s="55">
        <v>280</v>
      </c>
      <c r="E910" s="55" t="s">
        <v>1911</v>
      </c>
      <c r="F910" s="55" t="s">
        <v>231</v>
      </c>
      <c r="G910" s="55" t="s">
        <v>387</v>
      </c>
      <c r="H910" s="50" t="s">
        <v>1912</v>
      </c>
    </row>
    <row r="911" spans="3:8" x14ac:dyDescent="0.2">
      <c r="C911" s="195">
        <v>44566</v>
      </c>
      <c r="D911" s="55">
        <v>260</v>
      </c>
      <c r="E911" s="55" t="s">
        <v>1913</v>
      </c>
      <c r="F911" s="55" t="s">
        <v>272</v>
      </c>
      <c r="G911" s="55" t="s">
        <v>1914</v>
      </c>
      <c r="H911" s="50" t="s">
        <v>1915</v>
      </c>
    </row>
    <row r="912" spans="3:8" x14ac:dyDescent="0.2">
      <c r="C912" s="195">
        <v>44592</v>
      </c>
      <c r="D912" s="55">
        <v>280</v>
      </c>
      <c r="E912" s="55" t="s">
        <v>1916</v>
      </c>
      <c r="F912" s="55" t="s">
        <v>206</v>
      </c>
      <c r="G912" s="55" t="s">
        <v>568</v>
      </c>
      <c r="H912" s="50" t="s">
        <v>224</v>
      </c>
    </row>
    <row r="913" spans="1:62" x14ac:dyDescent="0.2">
      <c r="C913" s="195">
        <v>44579</v>
      </c>
      <c r="D913" s="55">
        <v>260</v>
      </c>
      <c r="E913" s="55" t="s">
        <v>1917</v>
      </c>
      <c r="F913" s="55" t="s">
        <v>263</v>
      </c>
      <c r="G913" s="55" t="s">
        <v>506</v>
      </c>
      <c r="H913" s="50" t="s">
        <v>1918</v>
      </c>
    </row>
    <row r="914" spans="1:62" x14ac:dyDescent="0.2">
      <c r="C914" s="195">
        <v>44565</v>
      </c>
      <c r="D914" s="55">
        <v>280</v>
      </c>
      <c r="E914" s="55" t="s">
        <v>1919</v>
      </c>
      <c r="F914" s="55" t="s">
        <v>244</v>
      </c>
      <c r="G914" s="55" t="s">
        <v>767</v>
      </c>
      <c r="H914" s="50" t="s">
        <v>1920</v>
      </c>
    </row>
    <row r="915" spans="1:62" x14ac:dyDescent="0.2">
      <c r="C915" s="195">
        <v>44588</v>
      </c>
      <c r="D915" s="55">
        <v>260</v>
      </c>
      <c r="E915" s="55" t="s">
        <v>1921</v>
      </c>
      <c r="F915" s="55" t="s">
        <v>231</v>
      </c>
      <c r="G915" s="55" t="s">
        <v>255</v>
      </c>
      <c r="H915" s="50" t="s">
        <v>224</v>
      </c>
    </row>
    <row r="916" spans="1:62" x14ac:dyDescent="0.2">
      <c r="C916" s="195">
        <v>44582</v>
      </c>
      <c r="D916" s="55">
        <v>280</v>
      </c>
      <c r="E916" s="55" t="s">
        <v>1922</v>
      </c>
      <c r="F916" s="55" t="s">
        <v>196</v>
      </c>
      <c r="G916" s="55" t="s">
        <v>197</v>
      </c>
      <c r="H916" s="50" t="s">
        <v>224</v>
      </c>
    </row>
    <row r="917" spans="1:62" x14ac:dyDescent="0.2">
      <c r="A917" s="57">
        <v>122</v>
      </c>
      <c r="B917" t="s">
        <v>836</v>
      </c>
      <c r="C917" s="195">
        <v>44571</v>
      </c>
      <c r="D917" s="55">
        <v>280</v>
      </c>
      <c r="E917" s="55" t="s">
        <v>1923</v>
      </c>
      <c r="F917" s="55" t="s">
        <v>263</v>
      </c>
      <c r="G917" s="55" t="s">
        <v>995</v>
      </c>
      <c r="H917" s="50" t="s">
        <v>224</v>
      </c>
      <c r="I917" s="46" t="s">
        <v>839</v>
      </c>
      <c r="J917" s="52">
        <v>1</v>
      </c>
      <c r="K917" s="52">
        <v>1</v>
      </c>
      <c r="O917" s="1">
        <v>1</v>
      </c>
      <c r="S917" s="1">
        <v>1</v>
      </c>
      <c r="W917" s="1">
        <v>1</v>
      </c>
      <c r="AA917" s="1">
        <v>1</v>
      </c>
      <c r="AG917">
        <v>3</v>
      </c>
      <c r="AH917">
        <v>2</v>
      </c>
      <c r="AI917">
        <v>2</v>
      </c>
      <c r="AJ917">
        <v>2</v>
      </c>
      <c r="AK917">
        <v>4</v>
      </c>
      <c r="AL917">
        <v>2</v>
      </c>
      <c r="AM917">
        <v>4</v>
      </c>
      <c r="AS917">
        <v>3</v>
      </c>
      <c r="AT917">
        <v>3</v>
      </c>
      <c r="AU917">
        <v>1</v>
      </c>
      <c r="AZ917">
        <v>2</v>
      </c>
      <c r="BA917">
        <v>1</v>
      </c>
      <c r="BB917">
        <v>1</v>
      </c>
      <c r="BC917">
        <v>1</v>
      </c>
      <c r="BD917">
        <v>3</v>
      </c>
      <c r="BE917">
        <v>5</v>
      </c>
      <c r="BJ917">
        <v>1</v>
      </c>
    </row>
    <row r="918" spans="1:62" x14ac:dyDescent="0.2">
      <c r="C918" s="195">
        <v>44575</v>
      </c>
      <c r="D918" s="55">
        <v>280</v>
      </c>
      <c r="E918" s="55" t="s">
        <v>1924</v>
      </c>
      <c r="F918" s="55" t="s">
        <v>390</v>
      </c>
      <c r="G918" s="55" t="s">
        <v>391</v>
      </c>
      <c r="H918" s="50" t="s">
        <v>1925</v>
      </c>
    </row>
    <row r="919" spans="1:62" x14ac:dyDescent="0.2">
      <c r="C919" s="195">
        <v>44575</v>
      </c>
      <c r="D919" s="55">
        <v>280</v>
      </c>
      <c r="E919" s="55" t="s">
        <v>1926</v>
      </c>
      <c r="F919" s="55" t="s">
        <v>231</v>
      </c>
      <c r="G919" s="55" t="s">
        <v>1098</v>
      </c>
    </row>
    <row r="920" spans="1:62" x14ac:dyDescent="0.2">
      <c r="C920" s="195">
        <v>44586</v>
      </c>
      <c r="D920" s="55">
        <v>280</v>
      </c>
      <c r="E920" s="55" t="s">
        <v>1927</v>
      </c>
      <c r="F920" s="55" t="s">
        <v>390</v>
      </c>
      <c r="G920" s="55" t="s">
        <v>779</v>
      </c>
      <c r="H920" s="50" t="s">
        <v>1928</v>
      </c>
    </row>
    <row r="921" spans="1:62" x14ac:dyDescent="0.2">
      <c r="A921" s="57">
        <v>122</v>
      </c>
      <c r="B921" t="s">
        <v>836</v>
      </c>
      <c r="C921" s="195">
        <v>44581</v>
      </c>
      <c r="D921" s="55">
        <v>260</v>
      </c>
      <c r="E921" s="55" t="s">
        <v>1929</v>
      </c>
      <c r="F921" s="55" t="s">
        <v>267</v>
      </c>
      <c r="G921" s="55" t="s">
        <v>1109</v>
      </c>
      <c r="H921" s="50" t="s">
        <v>224</v>
      </c>
      <c r="I921" s="46" t="s">
        <v>837</v>
      </c>
    </row>
    <row r="922" spans="1:62" x14ac:dyDescent="0.2">
      <c r="C922" s="195">
        <v>44580</v>
      </c>
      <c r="D922" s="55">
        <v>260</v>
      </c>
      <c r="E922" s="55" t="s">
        <v>1930</v>
      </c>
      <c r="F922" s="55" t="s">
        <v>210</v>
      </c>
      <c r="G922" s="55" t="s">
        <v>211</v>
      </c>
      <c r="H922" s="50" t="s">
        <v>1931</v>
      </c>
    </row>
    <row r="923" spans="1:62" x14ac:dyDescent="0.2">
      <c r="C923" s="195">
        <v>44566</v>
      </c>
      <c r="D923" s="55">
        <v>260</v>
      </c>
      <c r="E923" s="55" t="s">
        <v>1932</v>
      </c>
      <c r="F923" s="55" t="s">
        <v>202</v>
      </c>
      <c r="G923" s="55" t="s">
        <v>203</v>
      </c>
      <c r="H923" s="50" t="s">
        <v>1933</v>
      </c>
    </row>
    <row r="924" spans="1:62" x14ac:dyDescent="0.2">
      <c r="C924" s="195">
        <v>44571</v>
      </c>
      <c r="D924" s="55">
        <v>260</v>
      </c>
      <c r="E924" s="55" t="s">
        <v>1934</v>
      </c>
      <c r="F924" s="55" t="s">
        <v>202</v>
      </c>
      <c r="G924" s="55" t="s">
        <v>321</v>
      </c>
      <c r="H924" s="50" t="s">
        <v>1935</v>
      </c>
    </row>
    <row r="925" spans="1:62" x14ac:dyDescent="0.2">
      <c r="C925" s="195">
        <v>44592</v>
      </c>
      <c r="D925" s="55">
        <v>260</v>
      </c>
      <c r="E925" s="55" t="s">
        <v>1936</v>
      </c>
      <c r="F925" s="55" t="s">
        <v>291</v>
      </c>
      <c r="G925" s="55" t="s">
        <v>1247</v>
      </c>
      <c r="H925" s="50" t="s">
        <v>1937</v>
      </c>
    </row>
    <row r="926" spans="1:62" x14ac:dyDescent="0.2">
      <c r="C926" s="195">
        <v>44567</v>
      </c>
      <c r="D926" s="55">
        <v>280</v>
      </c>
      <c r="E926" s="55" t="s">
        <v>1938</v>
      </c>
      <c r="F926" s="55" t="s">
        <v>231</v>
      </c>
      <c r="G926" s="55" t="s">
        <v>232</v>
      </c>
      <c r="H926" s="50" t="s">
        <v>1939</v>
      </c>
    </row>
    <row r="927" spans="1:62" x14ac:dyDescent="0.2">
      <c r="C927" s="195">
        <v>44589</v>
      </c>
      <c r="D927" s="55">
        <v>280</v>
      </c>
      <c r="E927" s="55" t="s">
        <v>1940</v>
      </c>
      <c r="F927" s="55" t="s">
        <v>206</v>
      </c>
      <c r="G927" s="55" t="s">
        <v>548</v>
      </c>
      <c r="H927" s="50" t="s">
        <v>1941</v>
      </c>
    </row>
    <row r="928" spans="1:62" x14ac:dyDescent="0.2">
      <c r="C928" s="195">
        <v>44580</v>
      </c>
      <c r="D928" s="55">
        <v>260</v>
      </c>
      <c r="E928" s="55" t="s">
        <v>1942</v>
      </c>
      <c r="F928" s="55" t="s">
        <v>267</v>
      </c>
      <c r="G928" s="55" t="s">
        <v>813</v>
      </c>
      <c r="H928" s="50" t="s">
        <v>1943</v>
      </c>
    </row>
    <row r="929" spans="1:62" x14ac:dyDescent="0.2">
      <c r="C929" s="195">
        <v>44592</v>
      </c>
      <c r="D929" s="55">
        <v>280</v>
      </c>
      <c r="E929" s="55" t="s">
        <v>1944</v>
      </c>
      <c r="F929" s="55" t="s">
        <v>390</v>
      </c>
      <c r="G929" s="55" t="s">
        <v>590</v>
      </c>
      <c r="H929" s="50" t="s">
        <v>1945</v>
      </c>
    </row>
    <row r="930" spans="1:62" x14ac:dyDescent="0.2">
      <c r="C930" s="195">
        <v>44564</v>
      </c>
      <c r="D930" s="55">
        <v>260</v>
      </c>
      <c r="E930" s="55" t="s">
        <v>1946</v>
      </c>
      <c r="F930" s="55" t="s">
        <v>206</v>
      </c>
      <c r="G930" s="55" t="s">
        <v>228</v>
      </c>
    </row>
    <row r="931" spans="1:62" x14ac:dyDescent="0.2">
      <c r="C931" s="195">
        <v>44592</v>
      </c>
      <c r="D931" s="55">
        <v>260</v>
      </c>
      <c r="E931" s="55" t="s">
        <v>1947</v>
      </c>
      <c r="F931" s="55" t="s">
        <v>263</v>
      </c>
      <c r="G931" s="55" t="s">
        <v>506</v>
      </c>
      <c r="H931" s="50" t="s">
        <v>1948</v>
      </c>
    </row>
    <row r="932" spans="1:62" x14ac:dyDescent="0.2">
      <c r="C932" s="195">
        <v>44579</v>
      </c>
      <c r="D932" s="55">
        <v>280</v>
      </c>
      <c r="E932" s="55" t="s">
        <v>1949</v>
      </c>
      <c r="F932" s="55" t="s">
        <v>231</v>
      </c>
      <c r="G932" s="55" t="s">
        <v>387</v>
      </c>
      <c r="H932" s="50" t="s">
        <v>1950</v>
      </c>
    </row>
    <row r="933" spans="1:62" x14ac:dyDescent="0.2">
      <c r="C933" s="195">
        <v>44568</v>
      </c>
      <c r="D933" s="55">
        <v>280</v>
      </c>
      <c r="E933" s="55" t="s">
        <v>1951</v>
      </c>
      <c r="F933" s="55" t="s">
        <v>192</v>
      </c>
      <c r="G933" s="55" t="s">
        <v>640</v>
      </c>
      <c r="H933" s="50" t="s">
        <v>1952</v>
      </c>
    </row>
    <row r="934" spans="1:62" x14ac:dyDescent="0.2">
      <c r="C934" s="195">
        <v>44571</v>
      </c>
      <c r="D934" s="55">
        <v>280</v>
      </c>
      <c r="E934" s="55" t="s">
        <v>1953</v>
      </c>
      <c r="F934" s="55" t="s">
        <v>231</v>
      </c>
      <c r="G934" s="55" t="s">
        <v>255</v>
      </c>
      <c r="H934" s="50" t="s">
        <v>1954</v>
      </c>
    </row>
    <row r="935" spans="1:62" x14ac:dyDescent="0.2">
      <c r="C935" s="195">
        <v>44574</v>
      </c>
      <c r="D935" s="55">
        <v>280</v>
      </c>
      <c r="E935" s="55" t="s">
        <v>1955</v>
      </c>
      <c r="F935" s="55" t="s">
        <v>206</v>
      </c>
      <c r="G935" s="55" t="s">
        <v>228</v>
      </c>
      <c r="H935" s="50" t="s">
        <v>1956</v>
      </c>
    </row>
    <row r="936" spans="1:62" x14ac:dyDescent="0.2">
      <c r="C936" s="195">
        <v>44589</v>
      </c>
      <c r="D936" s="55">
        <v>260</v>
      </c>
      <c r="E936" s="55" t="s">
        <v>1957</v>
      </c>
      <c r="F936" s="55" t="s">
        <v>263</v>
      </c>
      <c r="G936" s="55" t="s">
        <v>633</v>
      </c>
    </row>
    <row r="937" spans="1:62" x14ac:dyDescent="0.2">
      <c r="C937" s="195">
        <v>44564</v>
      </c>
      <c r="D937" s="55">
        <v>280</v>
      </c>
      <c r="E937" s="55" t="s">
        <v>1958</v>
      </c>
      <c r="F937" s="55" t="s">
        <v>267</v>
      </c>
      <c r="G937" s="55" t="s">
        <v>331</v>
      </c>
    </row>
    <row r="938" spans="1:62" x14ac:dyDescent="0.2">
      <c r="C938" s="195">
        <v>44592</v>
      </c>
      <c r="D938" s="55">
        <v>260</v>
      </c>
      <c r="E938" s="55" t="s">
        <v>1959</v>
      </c>
      <c r="F938" s="55" t="s">
        <v>192</v>
      </c>
      <c r="G938" s="55" t="s">
        <v>258</v>
      </c>
      <c r="H938" s="50" t="s">
        <v>1960</v>
      </c>
    </row>
    <row r="939" spans="1:62" x14ac:dyDescent="0.2">
      <c r="A939" s="57">
        <v>122</v>
      </c>
      <c r="B939" s="162" t="s">
        <v>836</v>
      </c>
      <c r="C939" s="195">
        <v>44585</v>
      </c>
      <c r="D939" s="55">
        <v>260</v>
      </c>
      <c r="E939" s="55" t="s">
        <v>1961</v>
      </c>
      <c r="F939" s="55" t="s">
        <v>206</v>
      </c>
      <c r="G939" s="55" t="s">
        <v>676</v>
      </c>
      <c r="H939" s="50" t="s">
        <v>1962</v>
      </c>
      <c r="I939" s="46" t="s">
        <v>839</v>
      </c>
      <c r="J939" s="52">
        <v>2</v>
      </c>
      <c r="K939" s="52">
        <v>2</v>
      </c>
      <c r="O939" s="1">
        <v>2</v>
      </c>
      <c r="S939" s="1">
        <v>2</v>
      </c>
      <c r="W939" s="1">
        <v>2</v>
      </c>
      <c r="AA939" s="1">
        <v>1</v>
      </c>
      <c r="AG939">
        <v>1</v>
      </c>
      <c r="AM939">
        <v>4</v>
      </c>
      <c r="AS939">
        <v>4</v>
      </c>
      <c r="AT939">
        <v>2</v>
      </c>
      <c r="AU939">
        <v>1</v>
      </c>
      <c r="AZ939">
        <v>2</v>
      </c>
      <c r="BA939">
        <v>4</v>
      </c>
      <c r="BB939">
        <v>4</v>
      </c>
      <c r="BC939">
        <v>4</v>
      </c>
      <c r="BD939">
        <v>4</v>
      </c>
      <c r="BE939">
        <v>2</v>
      </c>
      <c r="BJ939">
        <v>2</v>
      </c>
    </row>
    <row r="940" spans="1:62" x14ac:dyDescent="0.2">
      <c r="C940" s="195">
        <v>44565</v>
      </c>
      <c r="D940" s="55">
        <v>260</v>
      </c>
      <c r="E940" s="55" t="s">
        <v>1963</v>
      </c>
      <c r="F940" s="55" t="s">
        <v>192</v>
      </c>
      <c r="G940" s="55" t="s">
        <v>487</v>
      </c>
      <c r="H940" s="50" t="s">
        <v>1964</v>
      </c>
    </row>
    <row r="941" spans="1:62" x14ac:dyDescent="0.2">
      <c r="C941" s="195">
        <v>44585</v>
      </c>
      <c r="D941" s="55">
        <v>280</v>
      </c>
      <c r="E941" s="55" t="s">
        <v>1965</v>
      </c>
      <c r="F941" s="55" t="s">
        <v>206</v>
      </c>
      <c r="G941" s="55" t="s">
        <v>676</v>
      </c>
      <c r="H941" s="50" t="s">
        <v>1966</v>
      </c>
    </row>
    <row r="942" spans="1:62" x14ac:dyDescent="0.2">
      <c r="C942" s="195">
        <v>44568</v>
      </c>
      <c r="D942" s="55">
        <v>260</v>
      </c>
      <c r="E942" s="55" t="s">
        <v>1967</v>
      </c>
      <c r="F942" s="55" t="s">
        <v>206</v>
      </c>
      <c r="G942" s="55" t="s">
        <v>207</v>
      </c>
      <c r="H942" s="50" t="s">
        <v>1968</v>
      </c>
    </row>
    <row r="943" spans="1:62" x14ac:dyDescent="0.2">
      <c r="C943" s="195">
        <v>44574</v>
      </c>
      <c r="D943" s="55">
        <v>260</v>
      </c>
      <c r="E943" s="55" t="s">
        <v>1969</v>
      </c>
      <c r="F943" s="55" t="s">
        <v>192</v>
      </c>
      <c r="G943" s="55" t="s">
        <v>401</v>
      </c>
      <c r="H943" s="50" t="s">
        <v>224</v>
      </c>
    </row>
    <row r="944" spans="1:62" x14ac:dyDescent="0.2">
      <c r="C944" s="195">
        <v>44580</v>
      </c>
      <c r="D944" s="55">
        <v>280</v>
      </c>
      <c r="E944" s="55" t="s">
        <v>1970</v>
      </c>
      <c r="F944" s="55" t="s">
        <v>231</v>
      </c>
      <c r="G944" s="55" t="s">
        <v>1189</v>
      </c>
      <c r="H944" s="50" t="s">
        <v>1971</v>
      </c>
    </row>
    <row r="945" spans="1:66" x14ac:dyDescent="0.2">
      <c r="C945" s="195">
        <v>44579</v>
      </c>
      <c r="D945" s="55">
        <v>260</v>
      </c>
      <c r="E945" s="55" t="s">
        <v>1972</v>
      </c>
      <c r="F945" s="55" t="s">
        <v>390</v>
      </c>
      <c r="G945" s="55" t="s">
        <v>391</v>
      </c>
      <c r="H945" s="50" t="s">
        <v>1973</v>
      </c>
    </row>
    <row r="946" spans="1:66" x14ac:dyDescent="0.2">
      <c r="C946" s="195">
        <v>44585</v>
      </c>
      <c r="D946" s="55">
        <v>260</v>
      </c>
      <c r="E946" s="55" t="s">
        <v>1974</v>
      </c>
      <c r="F946" s="55" t="s">
        <v>267</v>
      </c>
      <c r="G946" s="55" t="s">
        <v>268</v>
      </c>
      <c r="H946" s="50" t="s">
        <v>1975</v>
      </c>
    </row>
    <row r="947" spans="1:66" x14ac:dyDescent="0.2">
      <c r="A947" s="57">
        <v>122</v>
      </c>
      <c r="B947" s="162" t="s">
        <v>836</v>
      </c>
      <c r="C947" s="195">
        <v>44568</v>
      </c>
      <c r="D947" s="55">
        <v>260</v>
      </c>
      <c r="E947" s="55" t="s">
        <v>1976</v>
      </c>
      <c r="F947" s="55" t="s">
        <v>192</v>
      </c>
      <c r="G947" s="55" t="s">
        <v>258</v>
      </c>
      <c r="H947" s="50" t="s">
        <v>224</v>
      </c>
      <c r="I947" s="46" t="s">
        <v>839</v>
      </c>
      <c r="J947" s="52">
        <v>3</v>
      </c>
      <c r="K947" s="52">
        <v>2</v>
      </c>
      <c r="N947" s="52"/>
      <c r="O947" s="52">
        <v>4</v>
      </c>
      <c r="P947" s="58">
        <v>3</v>
      </c>
      <c r="Q947" s="52">
        <v>1</v>
      </c>
      <c r="R947" s="52">
        <v>3</v>
      </c>
      <c r="S947" s="52">
        <v>3</v>
      </c>
      <c r="T947" s="58">
        <v>3</v>
      </c>
      <c r="U947" s="52">
        <v>3</v>
      </c>
      <c r="V947" s="52">
        <v>3</v>
      </c>
      <c r="W947" s="52">
        <v>2</v>
      </c>
      <c r="AA947" s="1">
        <v>4</v>
      </c>
      <c r="AB947" s="1">
        <v>3</v>
      </c>
      <c r="AC947" s="59">
        <v>3</v>
      </c>
      <c r="AD947" s="1">
        <v>3</v>
      </c>
      <c r="AE947" s="1">
        <v>3</v>
      </c>
      <c r="AF947" s="1">
        <v>3</v>
      </c>
      <c r="AG947">
        <v>4</v>
      </c>
      <c r="AH947">
        <v>3</v>
      </c>
      <c r="AI947">
        <v>1</v>
      </c>
      <c r="AJ947">
        <v>1</v>
      </c>
      <c r="AK947">
        <v>1</v>
      </c>
      <c r="AL947">
        <v>3</v>
      </c>
      <c r="AM947">
        <v>4</v>
      </c>
      <c r="AS947">
        <v>4</v>
      </c>
      <c r="AT947">
        <v>4</v>
      </c>
      <c r="AU947">
        <v>2</v>
      </c>
      <c r="AZ947">
        <v>4</v>
      </c>
      <c r="BA947">
        <v>2</v>
      </c>
      <c r="BB947">
        <v>2</v>
      </c>
      <c r="BC947">
        <v>2</v>
      </c>
      <c r="BD947">
        <v>2</v>
      </c>
      <c r="BE947">
        <v>1</v>
      </c>
      <c r="BJ947">
        <v>4</v>
      </c>
      <c r="BK947">
        <v>1</v>
      </c>
      <c r="BL947">
        <v>3</v>
      </c>
      <c r="BM947">
        <v>2</v>
      </c>
      <c r="BN947">
        <v>2</v>
      </c>
    </row>
    <row r="948" spans="1:66" x14ac:dyDescent="0.2">
      <c r="C948" s="195">
        <v>44572</v>
      </c>
      <c r="D948" s="55">
        <v>280</v>
      </c>
      <c r="E948" s="55" t="s">
        <v>1977</v>
      </c>
      <c r="F948" s="55" t="s">
        <v>231</v>
      </c>
      <c r="G948" s="55" t="s">
        <v>782</v>
      </c>
      <c r="H948" s="50" t="s">
        <v>1978</v>
      </c>
    </row>
    <row r="949" spans="1:66" x14ac:dyDescent="0.2">
      <c r="C949" s="195">
        <v>44585</v>
      </c>
      <c r="D949" s="55">
        <v>260</v>
      </c>
      <c r="E949" s="55" t="s">
        <v>1979</v>
      </c>
      <c r="F949" s="55" t="s">
        <v>390</v>
      </c>
      <c r="G949" s="55" t="s">
        <v>391</v>
      </c>
      <c r="H949" s="50" t="s">
        <v>1980</v>
      </c>
    </row>
    <row r="950" spans="1:66" x14ac:dyDescent="0.2">
      <c r="C950" s="195">
        <v>44580</v>
      </c>
      <c r="D950" s="55">
        <v>260</v>
      </c>
      <c r="E950" s="55" t="s">
        <v>1981</v>
      </c>
      <c r="F950" s="55" t="s">
        <v>263</v>
      </c>
      <c r="G950" s="55" t="s">
        <v>506</v>
      </c>
      <c r="H950" s="50" t="s">
        <v>1982</v>
      </c>
    </row>
    <row r="951" spans="1:66" x14ac:dyDescent="0.2">
      <c r="C951" s="195">
        <v>44592</v>
      </c>
      <c r="D951" s="55">
        <v>280</v>
      </c>
      <c r="E951" s="55" t="s">
        <v>1983</v>
      </c>
      <c r="F951" s="55" t="s">
        <v>272</v>
      </c>
      <c r="G951" s="55" t="s">
        <v>366</v>
      </c>
      <c r="H951" s="50" t="s">
        <v>224</v>
      </c>
    </row>
    <row r="952" spans="1:66" x14ac:dyDescent="0.2">
      <c r="A952" s="57">
        <v>122</v>
      </c>
      <c r="B952" s="162" t="s">
        <v>836</v>
      </c>
      <c r="C952" s="195">
        <v>44586</v>
      </c>
      <c r="D952" s="55">
        <v>260</v>
      </c>
      <c r="E952" s="55" t="s">
        <v>1984</v>
      </c>
      <c r="F952" s="55" t="s">
        <v>192</v>
      </c>
      <c r="G952" s="55" t="s">
        <v>487</v>
      </c>
      <c r="H952" s="50" t="s">
        <v>224</v>
      </c>
      <c r="I952" s="46" t="s">
        <v>839</v>
      </c>
      <c r="J952" s="52">
        <v>1</v>
      </c>
      <c r="K952" s="52">
        <v>1</v>
      </c>
      <c r="O952" s="1">
        <v>1</v>
      </c>
      <c r="S952" s="1">
        <v>1</v>
      </c>
      <c r="W952" s="1">
        <v>1</v>
      </c>
      <c r="AA952" s="1">
        <v>1</v>
      </c>
      <c r="AG952">
        <v>1</v>
      </c>
      <c r="AM952">
        <v>1</v>
      </c>
      <c r="AN952">
        <v>1</v>
      </c>
      <c r="AO952">
        <v>1</v>
      </c>
      <c r="AP952">
        <v>1</v>
      </c>
      <c r="AQ952">
        <v>1</v>
      </c>
      <c r="AR952">
        <v>1</v>
      </c>
      <c r="AS952">
        <v>1</v>
      </c>
      <c r="AT952">
        <v>1</v>
      </c>
      <c r="AU952">
        <v>1</v>
      </c>
      <c r="AZ952">
        <v>1</v>
      </c>
      <c r="BA952">
        <v>1</v>
      </c>
      <c r="BB952">
        <v>1</v>
      </c>
      <c r="BC952">
        <v>1</v>
      </c>
      <c r="BD952">
        <v>1</v>
      </c>
      <c r="BE952">
        <v>1</v>
      </c>
      <c r="BJ952">
        <v>1</v>
      </c>
    </row>
    <row r="953" spans="1:66" x14ac:dyDescent="0.2">
      <c r="C953" s="195">
        <v>44565</v>
      </c>
      <c r="D953" s="55">
        <v>280</v>
      </c>
      <c r="E953" s="55" t="s">
        <v>1985</v>
      </c>
      <c r="F953" s="55" t="s">
        <v>291</v>
      </c>
      <c r="G953" s="55" t="s">
        <v>480</v>
      </c>
      <c r="H953" s="50" t="s">
        <v>1986</v>
      </c>
    </row>
    <row r="954" spans="1:66" x14ac:dyDescent="0.2">
      <c r="A954" s="57">
        <v>122</v>
      </c>
      <c r="B954" s="162" t="s">
        <v>836</v>
      </c>
      <c r="C954" s="195">
        <v>44580</v>
      </c>
      <c r="D954" s="55">
        <v>260</v>
      </c>
      <c r="E954" s="55" t="s">
        <v>1987</v>
      </c>
      <c r="F954" s="55" t="s">
        <v>291</v>
      </c>
      <c r="G954" s="55" t="s">
        <v>607</v>
      </c>
      <c r="I954" s="46" t="s">
        <v>839</v>
      </c>
      <c r="J954" s="52">
        <v>1</v>
      </c>
      <c r="K954" s="52">
        <v>1</v>
      </c>
      <c r="O954" s="1">
        <v>1</v>
      </c>
      <c r="S954" s="1">
        <v>1</v>
      </c>
      <c r="W954" s="1">
        <v>1</v>
      </c>
      <c r="AA954" s="1">
        <v>1</v>
      </c>
      <c r="AG954">
        <v>1</v>
      </c>
      <c r="AM954">
        <v>1</v>
      </c>
      <c r="AN954">
        <v>3</v>
      </c>
      <c r="AO954">
        <v>3</v>
      </c>
      <c r="AP954">
        <v>1</v>
      </c>
      <c r="AQ954">
        <v>3</v>
      </c>
      <c r="AR954">
        <v>3</v>
      </c>
      <c r="AS954">
        <v>3</v>
      </c>
      <c r="AT954">
        <v>1</v>
      </c>
      <c r="AU954">
        <v>1</v>
      </c>
      <c r="AZ954">
        <v>1</v>
      </c>
      <c r="BA954">
        <v>1</v>
      </c>
      <c r="BB954">
        <v>1</v>
      </c>
      <c r="BC954">
        <v>1</v>
      </c>
      <c r="BD954">
        <v>1</v>
      </c>
      <c r="BE954">
        <v>1</v>
      </c>
      <c r="BJ954">
        <v>1</v>
      </c>
    </row>
    <row r="955" spans="1:66" x14ac:dyDescent="0.2">
      <c r="C955" s="195">
        <v>44564</v>
      </c>
      <c r="D955" s="55">
        <v>260</v>
      </c>
      <c r="E955" s="55" t="s">
        <v>1988</v>
      </c>
      <c r="F955" s="55" t="s">
        <v>210</v>
      </c>
      <c r="G955" s="55" t="s">
        <v>383</v>
      </c>
      <c r="H955" s="50" t="s">
        <v>1989</v>
      </c>
    </row>
    <row r="956" spans="1:66" x14ac:dyDescent="0.2">
      <c r="C956" s="195">
        <v>44585</v>
      </c>
      <c r="D956" s="55">
        <v>260</v>
      </c>
      <c r="E956" s="55" t="s">
        <v>1990</v>
      </c>
      <c r="F956" s="55" t="s">
        <v>202</v>
      </c>
      <c r="G956" s="55" t="s">
        <v>341</v>
      </c>
      <c r="H956" s="50" t="s">
        <v>224</v>
      </c>
    </row>
    <row r="957" spans="1:66" x14ac:dyDescent="0.2">
      <c r="C957" s="195">
        <v>44579</v>
      </c>
      <c r="D957" s="55">
        <v>280</v>
      </c>
      <c r="E957" s="55" t="s">
        <v>1991</v>
      </c>
      <c r="F957" s="55" t="s">
        <v>192</v>
      </c>
      <c r="G957" s="55" t="s">
        <v>401</v>
      </c>
      <c r="H957" s="50" t="s">
        <v>1992</v>
      </c>
    </row>
    <row r="958" spans="1:66" x14ac:dyDescent="0.2">
      <c r="C958" s="195">
        <v>44568</v>
      </c>
      <c r="D958" s="55">
        <v>280</v>
      </c>
      <c r="E958" s="55" t="s">
        <v>1993</v>
      </c>
      <c r="F958" s="55" t="s">
        <v>210</v>
      </c>
      <c r="G958" s="55" t="s">
        <v>496</v>
      </c>
      <c r="H958" s="50" t="s">
        <v>1994</v>
      </c>
    </row>
    <row r="959" spans="1:66" x14ac:dyDescent="0.2">
      <c r="C959" s="195">
        <v>44592</v>
      </c>
      <c r="D959" s="55">
        <v>260</v>
      </c>
      <c r="E959" s="55" t="s">
        <v>1995</v>
      </c>
      <c r="F959" s="55" t="s">
        <v>272</v>
      </c>
      <c r="G959" s="55" t="s">
        <v>273</v>
      </c>
      <c r="H959" s="50" t="s">
        <v>1996</v>
      </c>
    </row>
    <row r="960" spans="1:66" x14ac:dyDescent="0.2">
      <c r="C960" s="195">
        <v>44592</v>
      </c>
      <c r="D960" s="55">
        <v>260</v>
      </c>
      <c r="E960" s="55" t="s">
        <v>1997</v>
      </c>
      <c r="F960" s="55" t="s">
        <v>202</v>
      </c>
      <c r="G960" s="55" t="s">
        <v>321</v>
      </c>
      <c r="H960" s="50" t="s">
        <v>1998</v>
      </c>
    </row>
    <row r="961" spans="1:9" x14ac:dyDescent="0.2">
      <c r="C961" s="195">
        <v>44566</v>
      </c>
      <c r="D961" s="55">
        <v>260</v>
      </c>
      <c r="E961" s="55" t="s">
        <v>1999</v>
      </c>
      <c r="F961" s="55" t="s">
        <v>272</v>
      </c>
      <c r="G961" s="55" t="s">
        <v>366</v>
      </c>
    </row>
    <row r="962" spans="1:9" x14ac:dyDescent="0.2">
      <c r="C962" s="195">
        <v>44572</v>
      </c>
      <c r="D962" s="55">
        <v>280</v>
      </c>
      <c r="E962" s="55" t="s">
        <v>2000</v>
      </c>
      <c r="F962" s="55" t="s">
        <v>219</v>
      </c>
      <c r="G962" s="55" t="s">
        <v>1732</v>
      </c>
      <c r="H962" s="50" t="s">
        <v>224</v>
      </c>
    </row>
    <row r="963" spans="1:9" x14ac:dyDescent="0.2">
      <c r="C963" s="195">
        <v>44581</v>
      </c>
      <c r="D963" s="55">
        <v>260</v>
      </c>
      <c r="E963" s="55" t="s">
        <v>2001</v>
      </c>
      <c r="F963" s="55" t="s">
        <v>390</v>
      </c>
      <c r="G963" s="55" t="s">
        <v>922</v>
      </c>
      <c r="H963" s="50" t="s">
        <v>2002</v>
      </c>
    </row>
    <row r="964" spans="1:9" x14ac:dyDescent="0.2">
      <c r="C964" s="195">
        <v>44592</v>
      </c>
      <c r="D964" s="55">
        <v>280</v>
      </c>
      <c r="E964" s="55" t="s">
        <v>2003</v>
      </c>
      <c r="F964" s="55" t="s">
        <v>272</v>
      </c>
      <c r="G964" s="55" t="s">
        <v>1914</v>
      </c>
      <c r="H964" s="50" t="s">
        <v>224</v>
      </c>
    </row>
    <row r="965" spans="1:9" x14ac:dyDescent="0.2">
      <c r="C965" s="195">
        <v>44564</v>
      </c>
      <c r="D965" s="55">
        <v>260</v>
      </c>
      <c r="E965" s="55" t="s">
        <v>2004</v>
      </c>
      <c r="F965" s="55" t="s">
        <v>263</v>
      </c>
      <c r="G965" s="55" t="s">
        <v>264</v>
      </c>
      <c r="H965" s="50" t="s">
        <v>2005</v>
      </c>
    </row>
    <row r="966" spans="1:9" x14ac:dyDescent="0.2">
      <c r="C966" s="195">
        <v>44587</v>
      </c>
      <c r="D966" s="55">
        <v>280</v>
      </c>
      <c r="E966" s="55" t="s">
        <v>2006</v>
      </c>
      <c r="F966" s="55" t="s">
        <v>390</v>
      </c>
      <c r="G966" s="55" t="s">
        <v>1446</v>
      </c>
      <c r="H966" s="50" t="s">
        <v>2007</v>
      </c>
    </row>
    <row r="967" spans="1:9" x14ac:dyDescent="0.2">
      <c r="C967" s="195">
        <v>44567</v>
      </c>
      <c r="D967" s="55">
        <v>260</v>
      </c>
      <c r="E967" s="55" t="s">
        <v>2008</v>
      </c>
      <c r="F967" s="55" t="s">
        <v>202</v>
      </c>
      <c r="G967" s="55" t="s">
        <v>302</v>
      </c>
      <c r="H967" s="50" t="s">
        <v>2009</v>
      </c>
    </row>
    <row r="968" spans="1:9" x14ac:dyDescent="0.2">
      <c r="C968" s="195">
        <v>44579</v>
      </c>
      <c r="D968" s="55">
        <v>260</v>
      </c>
      <c r="E968" s="55" t="s">
        <v>2010</v>
      </c>
      <c r="F968" s="55" t="s">
        <v>390</v>
      </c>
      <c r="G968" s="55" t="s">
        <v>779</v>
      </c>
      <c r="H968" s="50" t="s">
        <v>2011</v>
      </c>
    </row>
    <row r="969" spans="1:9" x14ac:dyDescent="0.2">
      <c r="C969" s="195">
        <v>44565</v>
      </c>
      <c r="D969" s="55">
        <v>280</v>
      </c>
      <c r="E969" s="55" t="s">
        <v>2012</v>
      </c>
      <c r="F969" s="55" t="s">
        <v>291</v>
      </c>
      <c r="G969" s="55" t="s">
        <v>1233</v>
      </c>
    </row>
    <row r="970" spans="1:9" x14ac:dyDescent="0.2">
      <c r="A970" s="57">
        <v>122</v>
      </c>
      <c r="B970" t="s">
        <v>836</v>
      </c>
      <c r="C970" s="195">
        <v>44564</v>
      </c>
      <c r="D970" s="55">
        <v>280</v>
      </c>
      <c r="E970" s="55" t="s">
        <v>2013</v>
      </c>
      <c r="F970" s="55" t="s">
        <v>267</v>
      </c>
      <c r="G970" s="55" t="s">
        <v>331</v>
      </c>
      <c r="H970" s="50" t="s">
        <v>224</v>
      </c>
      <c r="I970" s="46" t="s">
        <v>837</v>
      </c>
    </row>
    <row r="971" spans="1:9" x14ac:dyDescent="0.2">
      <c r="C971" s="195">
        <v>44574</v>
      </c>
      <c r="D971" s="55">
        <v>260</v>
      </c>
      <c r="E971" s="55" t="s">
        <v>2014</v>
      </c>
      <c r="F971" s="55" t="s">
        <v>192</v>
      </c>
      <c r="G971" s="55" t="s">
        <v>258</v>
      </c>
      <c r="H971" s="50" t="s">
        <v>2015</v>
      </c>
    </row>
    <row r="972" spans="1:9" x14ac:dyDescent="0.2">
      <c r="A972" s="57">
        <v>122</v>
      </c>
      <c r="B972" t="s">
        <v>836</v>
      </c>
      <c r="C972" s="195">
        <v>44581</v>
      </c>
      <c r="D972" s="55">
        <v>260</v>
      </c>
      <c r="E972" s="55" t="s">
        <v>2016</v>
      </c>
      <c r="F972" s="55" t="s">
        <v>267</v>
      </c>
      <c r="G972" s="55" t="s">
        <v>1109</v>
      </c>
      <c r="H972" s="50" t="s">
        <v>224</v>
      </c>
      <c r="I972" s="46" t="s">
        <v>837</v>
      </c>
    </row>
    <row r="973" spans="1:9" x14ac:dyDescent="0.2">
      <c r="C973" s="195">
        <v>44573</v>
      </c>
      <c r="D973" s="55">
        <v>260</v>
      </c>
      <c r="E973" s="55" t="s">
        <v>2017</v>
      </c>
      <c r="F973" s="55" t="s">
        <v>231</v>
      </c>
      <c r="G973" s="55" t="s">
        <v>387</v>
      </c>
      <c r="H973" s="50" t="s">
        <v>2018</v>
      </c>
    </row>
    <row r="974" spans="1:9" x14ac:dyDescent="0.2">
      <c r="C974" s="195">
        <v>44589</v>
      </c>
      <c r="D974" s="55">
        <v>260</v>
      </c>
      <c r="E974" s="55" t="s">
        <v>2019</v>
      </c>
      <c r="F974" s="55" t="s">
        <v>390</v>
      </c>
      <c r="G974" s="55" t="s">
        <v>490</v>
      </c>
      <c r="H974" s="50" t="s">
        <v>2020</v>
      </c>
    </row>
    <row r="975" spans="1:9" x14ac:dyDescent="0.2">
      <c r="C975" s="195">
        <v>44575</v>
      </c>
      <c r="D975" s="55">
        <v>280</v>
      </c>
      <c r="E975" s="55" t="s">
        <v>2021</v>
      </c>
      <c r="F975" s="55" t="s">
        <v>210</v>
      </c>
      <c r="G975" s="55" t="s">
        <v>383</v>
      </c>
      <c r="H975" s="50" t="s">
        <v>224</v>
      </c>
    </row>
    <row r="976" spans="1:9" x14ac:dyDescent="0.2">
      <c r="C976" s="195">
        <v>44586</v>
      </c>
      <c r="D976" s="55">
        <v>260</v>
      </c>
      <c r="E976" s="55" t="s">
        <v>2022</v>
      </c>
      <c r="F976" s="55" t="s">
        <v>202</v>
      </c>
      <c r="G976" s="55" t="s">
        <v>203</v>
      </c>
      <c r="H976" s="50" t="s">
        <v>2023</v>
      </c>
    </row>
    <row r="977" spans="1:62" x14ac:dyDescent="0.2">
      <c r="C977" s="195">
        <v>44564</v>
      </c>
      <c r="D977" s="55">
        <v>260</v>
      </c>
      <c r="E977" s="55" t="s">
        <v>2024</v>
      </c>
      <c r="F977" s="55" t="s">
        <v>192</v>
      </c>
      <c r="G977" s="55" t="s">
        <v>487</v>
      </c>
      <c r="H977" s="50" t="s">
        <v>2025</v>
      </c>
    </row>
    <row r="978" spans="1:62" x14ac:dyDescent="0.2">
      <c r="C978" s="195">
        <v>44586</v>
      </c>
      <c r="D978" s="55">
        <v>280</v>
      </c>
      <c r="E978" s="55" t="s">
        <v>2026</v>
      </c>
      <c r="F978" s="55" t="s">
        <v>291</v>
      </c>
      <c r="G978" s="55" t="s">
        <v>1233</v>
      </c>
      <c r="H978" s="50" t="s">
        <v>224</v>
      </c>
    </row>
    <row r="979" spans="1:62" x14ac:dyDescent="0.2">
      <c r="C979" s="195">
        <v>44587</v>
      </c>
      <c r="D979" s="55">
        <v>260</v>
      </c>
      <c r="E979" s="55" t="s">
        <v>2027</v>
      </c>
      <c r="F979" s="55" t="s">
        <v>196</v>
      </c>
      <c r="G979" s="55" t="s">
        <v>197</v>
      </c>
      <c r="H979" s="50" t="s">
        <v>2028</v>
      </c>
    </row>
    <row r="980" spans="1:62" x14ac:dyDescent="0.2">
      <c r="C980" s="195">
        <v>44580</v>
      </c>
      <c r="D980" s="55">
        <v>280</v>
      </c>
      <c r="E980" s="55" t="s">
        <v>2029</v>
      </c>
      <c r="F980" s="55" t="s">
        <v>231</v>
      </c>
      <c r="G980" s="55" t="s">
        <v>232</v>
      </c>
      <c r="H980" s="50" t="s">
        <v>2030</v>
      </c>
    </row>
    <row r="981" spans="1:62" x14ac:dyDescent="0.2">
      <c r="C981" s="195">
        <v>44566</v>
      </c>
      <c r="D981" s="55">
        <v>280</v>
      </c>
      <c r="E981" s="55" t="s">
        <v>2031</v>
      </c>
      <c r="F981" s="55" t="s">
        <v>272</v>
      </c>
      <c r="G981" s="55" t="s">
        <v>1914</v>
      </c>
    </row>
    <row r="982" spans="1:62" x14ac:dyDescent="0.2">
      <c r="C982" s="195">
        <v>44592</v>
      </c>
      <c r="D982" s="55">
        <v>260</v>
      </c>
      <c r="E982" s="55" t="s">
        <v>2032</v>
      </c>
      <c r="F982" s="55" t="s">
        <v>202</v>
      </c>
      <c r="G982" s="55" t="s">
        <v>2033</v>
      </c>
      <c r="H982" s="50" t="s">
        <v>2034</v>
      </c>
    </row>
    <row r="983" spans="1:62" x14ac:dyDescent="0.2">
      <c r="C983" s="195">
        <v>44568</v>
      </c>
      <c r="D983" s="55">
        <v>260</v>
      </c>
      <c r="E983" s="55" t="s">
        <v>2035</v>
      </c>
      <c r="F983" s="55" t="s">
        <v>196</v>
      </c>
      <c r="G983" s="55" t="s">
        <v>361</v>
      </c>
      <c r="H983" s="50" t="s">
        <v>2036</v>
      </c>
    </row>
    <row r="984" spans="1:62" x14ac:dyDescent="0.2">
      <c r="C984" s="195">
        <v>44592</v>
      </c>
      <c r="D984" s="55">
        <v>280</v>
      </c>
      <c r="E984" s="55" t="s">
        <v>2037</v>
      </c>
      <c r="F984" s="55" t="s">
        <v>390</v>
      </c>
      <c r="G984" s="55" t="s">
        <v>590</v>
      </c>
      <c r="H984" s="50" t="s">
        <v>2038</v>
      </c>
    </row>
    <row r="985" spans="1:62" x14ac:dyDescent="0.2">
      <c r="C985" s="195">
        <v>44586</v>
      </c>
      <c r="D985" s="55">
        <v>260</v>
      </c>
      <c r="E985" s="55" t="s">
        <v>2039</v>
      </c>
      <c r="F985" s="55" t="s">
        <v>196</v>
      </c>
      <c r="G985" s="55" t="s">
        <v>557</v>
      </c>
      <c r="H985" s="50" t="s">
        <v>224</v>
      </c>
    </row>
    <row r="986" spans="1:62" x14ac:dyDescent="0.2">
      <c r="C986" s="195">
        <v>44572</v>
      </c>
      <c r="D986" s="55">
        <v>280</v>
      </c>
      <c r="E986" s="55" t="s">
        <v>2040</v>
      </c>
      <c r="F986" s="55" t="s">
        <v>219</v>
      </c>
      <c r="G986" s="55" t="s">
        <v>451</v>
      </c>
      <c r="H986" s="50" t="s">
        <v>2041</v>
      </c>
    </row>
    <row r="987" spans="1:62" x14ac:dyDescent="0.2">
      <c r="C987" s="195">
        <v>44588</v>
      </c>
      <c r="D987" s="55">
        <v>260</v>
      </c>
      <c r="E987" s="55" t="s">
        <v>2042</v>
      </c>
      <c r="F987" s="55" t="s">
        <v>291</v>
      </c>
      <c r="G987" s="55" t="s">
        <v>819</v>
      </c>
      <c r="H987" s="50" t="s">
        <v>2043</v>
      </c>
    </row>
    <row r="988" spans="1:62" x14ac:dyDescent="0.2">
      <c r="C988" s="195">
        <v>44568</v>
      </c>
      <c r="D988" s="55">
        <v>260</v>
      </c>
      <c r="E988" s="55" t="s">
        <v>2044</v>
      </c>
      <c r="F988" s="55" t="s">
        <v>202</v>
      </c>
      <c r="G988" s="55" t="s">
        <v>341</v>
      </c>
      <c r="H988" s="50" t="s">
        <v>224</v>
      </c>
    </row>
    <row r="989" spans="1:62" x14ac:dyDescent="0.2">
      <c r="C989" s="195">
        <v>44565</v>
      </c>
      <c r="D989" s="55">
        <v>260</v>
      </c>
      <c r="E989" s="55" t="s">
        <v>2045</v>
      </c>
      <c r="F989" s="55" t="s">
        <v>210</v>
      </c>
      <c r="G989" s="55" t="s">
        <v>1572</v>
      </c>
      <c r="H989" s="50" t="s">
        <v>2046</v>
      </c>
    </row>
    <row r="990" spans="1:62" x14ac:dyDescent="0.2">
      <c r="C990" s="195">
        <v>44592</v>
      </c>
      <c r="D990" s="55">
        <v>280</v>
      </c>
      <c r="E990" s="55" t="s">
        <v>2047</v>
      </c>
      <c r="F990" s="55" t="s">
        <v>206</v>
      </c>
      <c r="G990" s="55" t="s">
        <v>214</v>
      </c>
      <c r="H990" s="50" t="s">
        <v>2048</v>
      </c>
    </row>
    <row r="991" spans="1:62" x14ac:dyDescent="0.2">
      <c r="C991" s="195">
        <v>44579</v>
      </c>
      <c r="D991" s="55">
        <v>280</v>
      </c>
      <c r="E991" s="55" t="s">
        <v>2049</v>
      </c>
      <c r="F991" s="55" t="s">
        <v>231</v>
      </c>
      <c r="G991" s="55" t="s">
        <v>1098</v>
      </c>
      <c r="H991" s="50" t="s">
        <v>224</v>
      </c>
    </row>
    <row r="992" spans="1:62" x14ac:dyDescent="0.2">
      <c r="A992" s="57">
        <v>122</v>
      </c>
      <c r="B992" s="162" t="s">
        <v>836</v>
      </c>
      <c r="C992" s="195">
        <v>44592</v>
      </c>
      <c r="D992" s="55">
        <v>260</v>
      </c>
      <c r="E992" s="55" t="s">
        <v>2050</v>
      </c>
      <c r="F992" s="55" t="s">
        <v>210</v>
      </c>
      <c r="G992" s="55" t="s">
        <v>496</v>
      </c>
      <c r="I992" s="46" t="s">
        <v>839</v>
      </c>
      <c r="J992" s="52">
        <v>2</v>
      </c>
      <c r="K992" s="52">
        <v>2</v>
      </c>
      <c r="O992" s="1">
        <v>1</v>
      </c>
      <c r="S992" s="1">
        <v>1</v>
      </c>
      <c r="W992" s="1">
        <v>1</v>
      </c>
      <c r="AA992" s="1">
        <v>1</v>
      </c>
      <c r="AG992">
        <v>1</v>
      </c>
      <c r="AM992">
        <v>2</v>
      </c>
      <c r="AN992">
        <v>4</v>
      </c>
      <c r="AO992">
        <v>4</v>
      </c>
      <c r="AP992">
        <v>4</v>
      </c>
      <c r="AQ992">
        <v>4</v>
      </c>
      <c r="AR992">
        <v>4</v>
      </c>
      <c r="AS992">
        <v>2</v>
      </c>
      <c r="AT992">
        <v>1</v>
      </c>
      <c r="AU992">
        <v>2</v>
      </c>
      <c r="AZ992">
        <v>1</v>
      </c>
      <c r="BA992">
        <v>1</v>
      </c>
      <c r="BB992">
        <v>1</v>
      </c>
      <c r="BC992">
        <v>1</v>
      </c>
      <c r="BD992">
        <v>1</v>
      </c>
      <c r="BE992">
        <v>1</v>
      </c>
      <c r="BJ992">
        <v>1</v>
      </c>
    </row>
    <row r="993" spans="1:9" x14ac:dyDescent="0.2">
      <c r="C993" s="195">
        <v>44588</v>
      </c>
      <c r="D993" s="55">
        <v>280</v>
      </c>
      <c r="E993" s="55" t="s">
        <v>2051</v>
      </c>
      <c r="F993" s="55" t="s">
        <v>219</v>
      </c>
      <c r="G993" s="55" t="s">
        <v>249</v>
      </c>
      <c r="H993" s="50" t="s">
        <v>2052</v>
      </c>
    </row>
    <row r="994" spans="1:9" x14ac:dyDescent="0.2">
      <c r="C994" s="195">
        <v>44572</v>
      </c>
      <c r="D994" s="55">
        <v>260</v>
      </c>
      <c r="E994" s="55" t="s">
        <v>2053</v>
      </c>
      <c r="F994" s="55" t="s">
        <v>219</v>
      </c>
      <c r="G994" s="55" t="s">
        <v>249</v>
      </c>
      <c r="H994" s="50" t="s">
        <v>2054</v>
      </c>
    </row>
    <row r="995" spans="1:9" x14ac:dyDescent="0.2">
      <c r="C995" s="195">
        <v>44587</v>
      </c>
      <c r="D995" s="55">
        <v>280</v>
      </c>
      <c r="E995" s="55" t="s">
        <v>2055</v>
      </c>
      <c r="F995" s="55" t="s">
        <v>263</v>
      </c>
      <c r="G995" s="55" t="s">
        <v>506</v>
      </c>
      <c r="H995" s="50" t="s">
        <v>224</v>
      </c>
    </row>
    <row r="996" spans="1:9" x14ac:dyDescent="0.2">
      <c r="C996" s="195">
        <v>44573</v>
      </c>
      <c r="D996" s="55">
        <v>260</v>
      </c>
      <c r="E996" s="55" t="s">
        <v>2056</v>
      </c>
      <c r="F996" s="55" t="s">
        <v>231</v>
      </c>
      <c r="G996" s="55" t="s">
        <v>435</v>
      </c>
      <c r="H996" s="50" t="s">
        <v>2057</v>
      </c>
    </row>
    <row r="997" spans="1:9" x14ac:dyDescent="0.2">
      <c r="C997" s="195">
        <v>44580</v>
      </c>
      <c r="D997" s="55">
        <v>280</v>
      </c>
      <c r="E997" s="55" t="s">
        <v>2058</v>
      </c>
      <c r="F997" s="55" t="s">
        <v>231</v>
      </c>
      <c r="G997" s="55" t="s">
        <v>1189</v>
      </c>
      <c r="H997" s="50" t="s">
        <v>2059</v>
      </c>
    </row>
    <row r="998" spans="1:9" x14ac:dyDescent="0.2">
      <c r="C998" s="195">
        <v>44579</v>
      </c>
      <c r="D998" s="55">
        <v>280</v>
      </c>
      <c r="E998" s="55" t="s">
        <v>2060</v>
      </c>
      <c r="F998" s="55" t="s">
        <v>267</v>
      </c>
      <c r="G998" s="55" t="s">
        <v>331</v>
      </c>
      <c r="H998" s="50" t="s">
        <v>224</v>
      </c>
    </row>
    <row r="999" spans="1:9" x14ac:dyDescent="0.2">
      <c r="C999" s="195">
        <v>44572</v>
      </c>
      <c r="D999" s="55">
        <v>260</v>
      </c>
      <c r="E999" s="55" t="s">
        <v>2061</v>
      </c>
      <c r="F999" s="55" t="s">
        <v>219</v>
      </c>
      <c r="G999" s="55" t="s">
        <v>249</v>
      </c>
      <c r="H999" s="50" t="s">
        <v>2062</v>
      </c>
    </row>
    <row r="1000" spans="1:9" x14ac:dyDescent="0.2">
      <c r="C1000" s="195">
        <v>44566</v>
      </c>
      <c r="D1000" s="55">
        <v>260</v>
      </c>
      <c r="E1000" s="55" t="s">
        <v>2063</v>
      </c>
      <c r="F1000" s="55" t="s">
        <v>202</v>
      </c>
      <c r="G1000" s="55" t="s">
        <v>203</v>
      </c>
      <c r="H1000" s="50" t="s">
        <v>2064</v>
      </c>
    </row>
    <row r="1001" spans="1:9" x14ac:dyDescent="0.2">
      <c r="C1001" s="195">
        <v>44585</v>
      </c>
      <c r="D1001" s="55">
        <v>280</v>
      </c>
      <c r="E1001" s="55" t="s">
        <v>2065</v>
      </c>
      <c r="F1001" s="55" t="s">
        <v>244</v>
      </c>
      <c r="G1001" s="55" t="s">
        <v>393</v>
      </c>
      <c r="H1001" s="50" t="s">
        <v>2066</v>
      </c>
    </row>
    <row r="1002" spans="1:9" x14ac:dyDescent="0.2">
      <c r="C1002" s="195">
        <v>44568</v>
      </c>
      <c r="D1002" s="55">
        <v>260</v>
      </c>
      <c r="E1002" s="55" t="s">
        <v>2067</v>
      </c>
      <c r="F1002" s="55" t="s">
        <v>202</v>
      </c>
      <c r="G1002" s="55" t="s">
        <v>203</v>
      </c>
      <c r="H1002" s="50" t="s">
        <v>2068</v>
      </c>
    </row>
    <row r="1003" spans="1:9" x14ac:dyDescent="0.2">
      <c r="C1003" s="195">
        <v>44581</v>
      </c>
      <c r="D1003" s="55">
        <v>280</v>
      </c>
      <c r="E1003" s="55" t="s">
        <v>2069</v>
      </c>
      <c r="F1003" s="55" t="s">
        <v>231</v>
      </c>
      <c r="G1003" s="55" t="s">
        <v>1098</v>
      </c>
      <c r="H1003" s="50" t="s">
        <v>224</v>
      </c>
    </row>
    <row r="1004" spans="1:9" x14ac:dyDescent="0.2">
      <c r="C1004" s="195">
        <v>44568</v>
      </c>
      <c r="D1004" s="55">
        <v>260</v>
      </c>
      <c r="E1004" s="55" t="s">
        <v>2070</v>
      </c>
      <c r="F1004" s="55" t="s">
        <v>231</v>
      </c>
      <c r="G1004" s="55" t="s">
        <v>482</v>
      </c>
      <c r="H1004" s="50" t="s">
        <v>2071</v>
      </c>
    </row>
    <row r="1005" spans="1:9" x14ac:dyDescent="0.2">
      <c r="C1005" s="195">
        <v>44573</v>
      </c>
      <c r="D1005" s="55">
        <v>260</v>
      </c>
      <c r="E1005" s="55" t="s">
        <v>2072</v>
      </c>
      <c r="F1005" s="55" t="s">
        <v>210</v>
      </c>
      <c r="G1005" s="55" t="s">
        <v>211</v>
      </c>
      <c r="H1005" s="50" t="s">
        <v>2073</v>
      </c>
    </row>
    <row r="1006" spans="1:9" x14ac:dyDescent="0.2">
      <c r="C1006" s="195">
        <v>44585</v>
      </c>
      <c r="D1006" s="55">
        <v>260</v>
      </c>
      <c r="E1006" s="55" t="s">
        <v>2074</v>
      </c>
      <c r="F1006" s="55" t="s">
        <v>291</v>
      </c>
      <c r="G1006" s="55" t="s">
        <v>480</v>
      </c>
      <c r="H1006" s="50" t="s">
        <v>2075</v>
      </c>
    </row>
    <row r="1007" spans="1:9" x14ac:dyDescent="0.2">
      <c r="A1007" s="57">
        <v>122</v>
      </c>
      <c r="B1007" t="s">
        <v>836</v>
      </c>
      <c r="C1007" s="195">
        <v>44567</v>
      </c>
      <c r="D1007" s="55">
        <v>280</v>
      </c>
      <c r="E1007" s="55" t="s">
        <v>2076</v>
      </c>
      <c r="F1007" s="55" t="s">
        <v>231</v>
      </c>
      <c r="G1007" s="55" t="s">
        <v>232</v>
      </c>
      <c r="H1007" s="50" t="s">
        <v>224</v>
      </c>
      <c r="I1007" s="46" t="s">
        <v>837</v>
      </c>
    </row>
    <row r="1008" spans="1:9" x14ac:dyDescent="0.2">
      <c r="C1008" s="195">
        <v>44568</v>
      </c>
      <c r="D1008" s="55">
        <v>260</v>
      </c>
      <c r="E1008" s="55" t="s">
        <v>2077</v>
      </c>
      <c r="F1008" s="55" t="s">
        <v>192</v>
      </c>
      <c r="G1008" s="55" t="s">
        <v>193</v>
      </c>
      <c r="H1008" s="50" t="s">
        <v>2078</v>
      </c>
    </row>
    <row r="1009" spans="1:62" x14ac:dyDescent="0.2">
      <c r="C1009" s="195">
        <v>44585</v>
      </c>
      <c r="D1009" s="55">
        <v>260</v>
      </c>
      <c r="E1009" s="55" t="s">
        <v>2079</v>
      </c>
      <c r="F1009" s="55" t="s">
        <v>231</v>
      </c>
      <c r="G1009" s="55" t="s">
        <v>232</v>
      </c>
      <c r="H1009" s="50" t="s">
        <v>2080</v>
      </c>
    </row>
    <row r="1010" spans="1:62" x14ac:dyDescent="0.2">
      <c r="C1010" s="195">
        <v>44592</v>
      </c>
      <c r="D1010" s="55">
        <v>280</v>
      </c>
      <c r="E1010" s="55" t="s">
        <v>2081</v>
      </c>
      <c r="F1010" s="55" t="s">
        <v>219</v>
      </c>
      <c r="G1010" s="55" t="s">
        <v>540</v>
      </c>
      <c r="H1010" s="50" t="s">
        <v>2082</v>
      </c>
    </row>
    <row r="1011" spans="1:62" x14ac:dyDescent="0.2">
      <c r="C1011" s="195">
        <v>44592</v>
      </c>
      <c r="D1011" s="55">
        <v>260</v>
      </c>
      <c r="E1011" s="55" t="s">
        <v>2083</v>
      </c>
      <c r="F1011" s="55" t="s">
        <v>272</v>
      </c>
      <c r="G1011" s="55" t="s">
        <v>273</v>
      </c>
      <c r="H1011" s="50" t="s">
        <v>2084</v>
      </c>
    </row>
    <row r="1012" spans="1:62" x14ac:dyDescent="0.2">
      <c r="C1012" s="195">
        <v>44568</v>
      </c>
      <c r="D1012" s="55">
        <v>260</v>
      </c>
      <c r="E1012" s="55" t="s">
        <v>2085</v>
      </c>
      <c r="F1012" s="55" t="s">
        <v>206</v>
      </c>
      <c r="G1012" s="55" t="s">
        <v>207</v>
      </c>
      <c r="H1012" s="50" t="s">
        <v>2086</v>
      </c>
    </row>
    <row r="1013" spans="1:62" x14ac:dyDescent="0.2">
      <c r="C1013" s="195">
        <v>44572</v>
      </c>
      <c r="D1013" s="55">
        <v>280</v>
      </c>
      <c r="E1013" s="55" t="s">
        <v>2087</v>
      </c>
      <c r="F1013" s="55" t="s">
        <v>231</v>
      </c>
      <c r="G1013" s="55" t="s">
        <v>2088</v>
      </c>
      <c r="H1013" s="50" t="s">
        <v>2089</v>
      </c>
    </row>
    <row r="1014" spans="1:62" x14ac:dyDescent="0.2">
      <c r="C1014" s="195">
        <v>44566</v>
      </c>
      <c r="D1014" s="55">
        <v>260</v>
      </c>
      <c r="E1014" s="55" t="s">
        <v>2090</v>
      </c>
      <c r="F1014" s="55" t="s">
        <v>244</v>
      </c>
      <c r="G1014" s="55" t="s">
        <v>696</v>
      </c>
      <c r="H1014" s="50" t="s">
        <v>2091</v>
      </c>
    </row>
    <row r="1015" spans="1:62" x14ac:dyDescent="0.2">
      <c r="C1015" s="195">
        <v>44581</v>
      </c>
      <c r="D1015" s="55">
        <v>280</v>
      </c>
      <c r="E1015" s="55" t="s">
        <v>2092</v>
      </c>
      <c r="F1015" s="55" t="s">
        <v>231</v>
      </c>
      <c r="G1015" s="55" t="s">
        <v>387</v>
      </c>
      <c r="H1015" s="50" t="s">
        <v>2093</v>
      </c>
    </row>
    <row r="1016" spans="1:62" x14ac:dyDescent="0.2">
      <c r="C1016" s="195">
        <v>44572</v>
      </c>
      <c r="D1016" s="55">
        <v>280</v>
      </c>
      <c r="E1016" s="55" t="s">
        <v>2094</v>
      </c>
      <c r="F1016" s="55" t="s">
        <v>390</v>
      </c>
      <c r="G1016" s="55" t="s">
        <v>391</v>
      </c>
      <c r="H1016" s="50" t="s">
        <v>2095</v>
      </c>
    </row>
    <row r="1017" spans="1:62" x14ac:dyDescent="0.2">
      <c r="C1017" s="195">
        <v>44592</v>
      </c>
      <c r="D1017" s="55">
        <v>280</v>
      </c>
      <c r="E1017" s="55" t="s">
        <v>2096</v>
      </c>
      <c r="F1017" s="55" t="s">
        <v>390</v>
      </c>
      <c r="G1017" s="55" t="s">
        <v>671</v>
      </c>
      <c r="H1017" s="50" t="s">
        <v>2097</v>
      </c>
    </row>
    <row r="1018" spans="1:62" x14ac:dyDescent="0.2">
      <c r="A1018" s="57">
        <v>122</v>
      </c>
      <c r="B1018" s="162" t="s">
        <v>836</v>
      </c>
      <c r="C1018" s="195">
        <v>44566</v>
      </c>
      <c r="D1018" s="55">
        <v>260</v>
      </c>
      <c r="E1018" s="55" t="s">
        <v>2098</v>
      </c>
      <c r="F1018" s="55" t="s">
        <v>196</v>
      </c>
      <c r="G1018" s="55" t="s">
        <v>645</v>
      </c>
      <c r="I1018" s="46" t="s">
        <v>839</v>
      </c>
      <c r="J1018" s="52">
        <v>2</v>
      </c>
      <c r="K1018" s="52">
        <v>2</v>
      </c>
      <c r="O1018" s="1">
        <v>1</v>
      </c>
      <c r="S1018" s="1">
        <v>2</v>
      </c>
      <c r="W1018" s="1">
        <v>3</v>
      </c>
      <c r="X1018" s="1">
        <v>1</v>
      </c>
      <c r="Y1018" s="1">
        <v>1</v>
      </c>
      <c r="Z1018" s="1">
        <v>2</v>
      </c>
      <c r="AA1018" s="1">
        <v>1</v>
      </c>
      <c r="AG1018">
        <v>2</v>
      </c>
      <c r="AM1018">
        <v>1</v>
      </c>
      <c r="AN1018">
        <v>1</v>
      </c>
      <c r="AO1018">
        <v>1</v>
      </c>
      <c r="AP1018">
        <v>1</v>
      </c>
      <c r="AQ1018">
        <v>2</v>
      </c>
      <c r="AR1018">
        <v>2</v>
      </c>
      <c r="AS1018">
        <v>2</v>
      </c>
      <c r="AT1018">
        <v>2</v>
      </c>
      <c r="AU1018">
        <v>2</v>
      </c>
      <c r="AZ1018">
        <v>2</v>
      </c>
      <c r="BA1018">
        <v>4</v>
      </c>
      <c r="BB1018">
        <v>1</v>
      </c>
      <c r="BC1018">
        <v>2</v>
      </c>
      <c r="BD1018">
        <v>1</v>
      </c>
      <c r="BE1018">
        <v>2</v>
      </c>
      <c r="BJ1018">
        <v>1</v>
      </c>
    </row>
    <row r="1019" spans="1:62" x14ac:dyDescent="0.2">
      <c r="C1019" s="195">
        <v>44585</v>
      </c>
      <c r="D1019" s="55">
        <v>280</v>
      </c>
      <c r="E1019" s="55" t="s">
        <v>2099</v>
      </c>
      <c r="F1019" s="55" t="s">
        <v>291</v>
      </c>
      <c r="G1019" s="55" t="s">
        <v>819</v>
      </c>
      <c r="H1019" s="50" t="s">
        <v>2100</v>
      </c>
    </row>
    <row r="1020" spans="1:62" x14ac:dyDescent="0.2">
      <c r="C1020" s="195">
        <v>44571</v>
      </c>
      <c r="D1020" s="55">
        <v>280</v>
      </c>
      <c r="E1020" s="55" t="s">
        <v>2101</v>
      </c>
      <c r="F1020" s="55" t="s">
        <v>231</v>
      </c>
      <c r="G1020" s="55" t="s">
        <v>255</v>
      </c>
      <c r="H1020" s="50" t="s">
        <v>2102</v>
      </c>
    </row>
    <row r="1021" spans="1:62" x14ac:dyDescent="0.2">
      <c r="C1021" s="195">
        <v>44572</v>
      </c>
      <c r="D1021" s="55">
        <v>260</v>
      </c>
      <c r="E1021" s="55" t="s">
        <v>2103</v>
      </c>
      <c r="F1021" s="55" t="s">
        <v>291</v>
      </c>
      <c r="G1021" s="55" t="s">
        <v>1247</v>
      </c>
      <c r="H1021" s="50" t="s">
        <v>2104</v>
      </c>
    </row>
    <row r="1022" spans="1:62" x14ac:dyDescent="0.2">
      <c r="C1022" s="195">
        <v>44572</v>
      </c>
      <c r="D1022" s="55">
        <v>280</v>
      </c>
      <c r="E1022" s="55" t="s">
        <v>2105</v>
      </c>
      <c r="F1022" s="55" t="s">
        <v>202</v>
      </c>
      <c r="G1022" s="55" t="s">
        <v>2106</v>
      </c>
      <c r="H1022" s="50" t="s">
        <v>2107</v>
      </c>
    </row>
    <row r="1023" spans="1:62" x14ac:dyDescent="0.2">
      <c r="C1023" s="195">
        <v>44579</v>
      </c>
      <c r="D1023" s="55">
        <v>280</v>
      </c>
      <c r="E1023" s="55" t="s">
        <v>2108</v>
      </c>
      <c r="F1023" s="55" t="s">
        <v>231</v>
      </c>
      <c r="G1023" s="55" t="s">
        <v>371</v>
      </c>
      <c r="H1023" s="50" t="s">
        <v>2109</v>
      </c>
    </row>
    <row r="1024" spans="1:62" x14ac:dyDescent="0.2">
      <c r="C1024" s="195">
        <v>44567</v>
      </c>
      <c r="D1024" s="55">
        <v>280</v>
      </c>
      <c r="E1024" s="55" t="s">
        <v>2110</v>
      </c>
      <c r="F1024" s="55" t="s">
        <v>210</v>
      </c>
      <c r="G1024" s="55" t="s">
        <v>418</v>
      </c>
      <c r="H1024" s="50" t="s">
        <v>2111</v>
      </c>
    </row>
    <row r="1025" spans="1:62" x14ac:dyDescent="0.2">
      <c r="C1025" s="195">
        <v>44588</v>
      </c>
      <c r="D1025" s="55">
        <v>280</v>
      </c>
      <c r="E1025" s="55" t="s">
        <v>2112</v>
      </c>
      <c r="F1025" s="55" t="s">
        <v>244</v>
      </c>
      <c r="G1025" s="55" t="s">
        <v>696</v>
      </c>
      <c r="H1025" s="50" t="s">
        <v>2113</v>
      </c>
    </row>
    <row r="1026" spans="1:62" x14ac:dyDescent="0.2">
      <c r="C1026" s="195">
        <v>44579</v>
      </c>
      <c r="D1026" s="55">
        <v>280</v>
      </c>
      <c r="E1026" s="55" t="s">
        <v>2114</v>
      </c>
      <c r="F1026" s="55" t="s">
        <v>231</v>
      </c>
      <c r="G1026" s="55" t="s">
        <v>1098</v>
      </c>
      <c r="H1026" s="50" t="s">
        <v>2115</v>
      </c>
    </row>
    <row r="1027" spans="1:62" x14ac:dyDescent="0.2">
      <c r="C1027" s="195">
        <v>44589</v>
      </c>
      <c r="D1027" s="55">
        <v>280</v>
      </c>
      <c r="E1027" s="55" t="s">
        <v>2116</v>
      </c>
      <c r="F1027" s="55" t="s">
        <v>291</v>
      </c>
      <c r="G1027" s="55" t="s">
        <v>1247</v>
      </c>
      <c r="H1027" s="50" t="s">
        <v>224</v>
      </c>
    </row>
    <row r="1028" spans="1:62" x14ac:dyDescent="0.2">
      <c r="A1028" s="57">
        <v>122</v>
      </c>
      <c r="B1028" t="s">
        <v>836</v>
      </c>
      <c r="C1028" s="195">
        <v>44587</v>
      </c>
      <c r="D1028" s="55">
        <v>280</v>
      </c>
      <c r="E1028" s="55" t="s">
        <v>2117</v>
      </c>
      <c r="F1028" s="55" t="s">
        <v>231</v>
      </c>
      <c r="G1028" s="55" t="s">
        <v>421</v>
      </c>
      <c r="H1028" s="50" t="s">
        <v>224</v>
      </c>
      <c r="I1028" s="46" t="s">
        <v>839</v>
      </c>
      <c r="J1028" s="52">
        <v>1</v>
      </c>
      <c r="K1028" s="52">
        <v>1</v>
      </c>
      <c r="O1028" s="1">
        <v>1</v>
      </c>
      <c r="S1028" s="1">
        <v>1</v>
      </c>
      <c r="W1028" s="1">
        <v>1</v>
      </c>
      <c r="AA1028" s="1">
        <v>1</v>
      </c>
      <c r="AG1028">
        <v>1</v>
      </c>
      <c r="AM1028">
        <v>1</v>
      </c>
      <c r="AN1028">
        <v>1</v>
      </c>
      <c r="AO1028">
        <v>1</v>
      </c>
      <c r="AP1028">
        <v>1</v>
      </c>
      <c r="AQ1028">
        <v>1</v>
      </c>
      <c r="AR1028">
        <v>3</v>
      </c>
      <c r="AS1028">
        <v>1</v>
      </c>
      <c r="AT1028">
        <v>1</v>
      </c>
      <c r="AU1028">
        <v>1</v>
      </c>
      <c r="AZ1028">
        <v>1</v>
      </c>
      <c r="BA1028">
        <v>1</v>
      </c>
      <c r="BB1028">
        <v>1</v>
      </c>
      <c r="BC1028">
        <v>1</v>
      </c>
      <c r="BD1028">
        <v>1</v>
      </c>
      <c r="BE1028">
        <v>1</v>
      </c>
      <c r="BJ1028">
        <v>1</v>
      </c>
    </row>
    <row r="1029" spans="1:62" x14ac:dyDescent="0.2">
      <c r="C1029" s="195">
        <v>44580</v>
      </c>
      <c r="D1029" s="55">
        <v>260</v>
      </c>
      <c r="E1029" s="55" t="s">
        <v>2118</v>
      </c>
      <c r="F1029" s="55" t="s">
        <v>263</v>
      </c>
      <c r="G1029" s="55" t="s">
        <v>506</v>
      </c>
      <c r="H1029" s="50" t="s">
        <v>2119</v>
      </c>
    </row>
    <row r="1030" spans="1:62" x14ac:dyDescent="0.2">
      <c r="C1030" s="195">
        <v>44592</v>
      </c>
      <c r="D1030" s="55">
        <v>260</v>
      </c>
      <c r="E1030" s="55" t="s">
        <v>2120</v>
      </c>
      <c r="F1030" s="55" t="s">
        <v>390</v>
      </c>
      <c r="G1030" s="55" t="s">
        <v>590</v>
      </c>
      <c r="H1030" s="50" t="s">
        <v>2121</v>
      </c>
    </row>
    <row r="1031" spans="1:62" x14ac:dyDescent="0.2">
      <c r="C1031" s="195">
        <v>44580</v>
      </c>
      <c r="D1031" s="55">
        <v>260</v>
      </c>
      <c r="E1031" s="55" t="s">
        <v>2122</v>
      </c>
      <c r="F1031" s="55" t="s">
        <v>231</v>
      </c>
      <c r="G1031" s="55" t="s">
        <v>387</v>
      </c>
      <c r="H1031" s="50" t="s">
        <v>2123</v>
      </c>
    </row>
    <row r="1032" spans="1:62" x14ac:dyDescent="0.2">
      <c r="C1032" s="195">
        <v>44565</v>
      </c>
      <c r="D1032" s="55">
        <v>280</v>
      </c>
      <c r="E1032" s="55" t="s">
        <v>2124</v>
      </c>
      <c r="F1032" s="55" t="s">
        <v>231</v>
      </c>
      <c r="G1032" s="55" t="s">
        <v>1189</v>
      </c>
      <c r="H1032" s="50" t="s">
        <v>2125</v>
      </c>
    </row>
    <row r="1033" spans="1:62" x14ac:dyDescent="0.2">
      <c r="C1033" s="195">
        <v>44582</v>
      </c>
      <c r="D1033" s="55">
        <v>280</v>
      </c>
      <c r="E1033" s="55" t="s">
        <v>2126</v>
      </c>
      <c r="F1033" s="55" t="s">
        <v>244</v>
      </c>
      <c r="G1033" s="55" t="s">
        <v>245</v>
      </c>
      <c r="H1033" s="50" t="s">
        <v>2127</v>
      </c>
    </row>
    <row r="1034" spans="1:62" x14ac:dyDescent="0.2">
      <c r="C1034" s="195">
        <v>44573</v>
      </c>
      <c r="D1034" s="55">
        <v>280</v>
      </c>
      <c r="E1034" s="55" t="s">
        <v>2128</v>
      </c>
      <c r="F1034" s="55" t="s">
        <v>267</v>
      </c>
      <c r="G1034" s="55" t="s">
        <v>813</v>
      </c>
    </row>
    <row r="1035" spans="1:62" x14ac:dyDescent="0.2">
      <c r="C1035" s="195">
        <v>44572</v>
      </c>
      <c r="D1035" s="55">
        <v>260</v>
      </c>
      <c r="E1035" s="55" t="s">
        <v>2129</v>
      </c>
      <c r="F1035" s="55" t="s">
        <v>219</v>
      </c>
      <c r="G1035" s="55" t="s">
        <v>451</v>
      </c>
      <c r="H1035" s="50" t="s">
        <v>2130</v>
      </c>
    </row>
    <row r="1036" spans="1:62" x14ac:dyDescent="0.2">
      <c r="C1036" s="195">
        <v>44573</v>
      </c>
      <c r="D1036" s="55">
        <v>280</v>
      </c>
      <c r="E1036" s="55" t="s">
        <v>2131</v>
      </c>
      <c r="F1036" s="55" t="s">
        <v>267</v>
      </c>
      <c r="G1036" s="55" t="s">
        <v>357</v>
      </c>
      <c r="H1036" s="50" t="s">
        <v>224</v>
      </c>
    </row>
    <row r="1037" spans="1:62" x14ac:dyDescent="0.2">
      <c r="C1037" s="195">
        <v>44585</v>
      </c>
      <c r="D1037" s="55">
        <v>280</v>
      </c>
      <c r="E1037" s="55" t="s">
        <v>2132</v>
      </c>
      <c r="F1037" s="55" t="s">
        <v>192</v>
      </c>
      <c r="G1037" s="55" t="s">
        <v>401</v>
      </c>
      <c r="H1037" s="50" t="s">
        <v>224</v>
      </c>
    </row>
    <row r="1038" spans="1:62" x14ac:dyDescent="0.2">
      <c r="C1038" s="195">
        <v>44592</v>
      </c>
      <c r="D1038" s="55">
        <v>280</v>
      </c>
      <c r="E1038" s="55" t="s">
        <v>2133</v>
      </c>
      <c r="F1038" s="55" t="s">
        <v>206</v>
      </c>
      <c r="G1038" s="55" t="s">
        <v>214</v>
      </c>
      <c r="H1038" s="50" t="s">
        <v>2134</v>
      </c>
    </row>
    <row r="1039" spans="1:62" x14ac:dyDescent="0.2">
      <c r="C1039" s="195">
        <v>44564</v>
      </c>
      <c r="D1039" s="55">
        <v>260</v>
      </c>
      <c r="E1039" s="55" t="s">
        <v>2135</v>
      </c>
      <c r="F1039" s="55" t="s">
        <v>267</v>
      </c>
      <c r="G1039" s="55" t="s">
        <v>357</v>
      </c>
      <c r="H1039" s="50" t="s">
        <v>224</v>
      </c>
    </row>
    <row r="1040" spans="1:62" x14ac:dyDescent="0.2">
      <c r="C1040" s="195">
        <v>44567</v>
      </c>
      <c r="D1040" s="55">
        <v>260</v>
      </c>
      <c r="E1040" s="55" t="s">
        <v>2136</v>
      </c>
      <c r="F1040" s="55" t="s">
        <v>291</v>
      </c>
      <c r="G1040" s="55" t="s">
        <v>607</v>
      </c>
      <c r="H1040" s="50" t="s">
        <v>224</v>
      </c>
    </row>
    <row r="1041" spans="1:62" x14ac:dyDescent="0.2">
      <c r="C1041" s="195">
        <v>44592</v>
      </c>
      <c r="D1041" s="55">
        <v>280</v>
      </c>
      <c r="E1041" s="55" t="s">
        <v>2137</v>
      </c>
      <c r="F1041" s="55" t="s">
        <v>272</v>
      </c>
      <c r="G1041" s="55" t="s">
        <v>366</v>
      </c>
      <c r="H1041" s="50" t="s">
        <v>224</v>
      </c>
    </row>
    <row r="1042" spans="1:62" x14ac:dyDescent="0.2">
      <c r="C1042" s="195">
        <v>44575</v>
      </c>
      <c r="D1042" s="55">
        <v>280</v>
      </c>
      <c r="E1042" s="55" t="s">
        <v>2138</v>
      </c>
      <c r="F1042" s="55" t="s">
        <v>231</v>
      </c>
      <c r="G1042" s="55" t="s">
        <v>1098</v>
      </c>
      <c r="H1042" s="50" t="s">
        <v>2139</v>
      </c>
    </row>
    <row r="1043" spans="1:62" x14ac:dyDescent="0.2">
      <c r="C1043" s="195">
        <v>44592</v>
      </c>
      <c r="D1043" s="55">
        <v>280</v>
      </c>
      <c r="E1043" s="55" t="s">
        <v>2140</v>
      </c>
      <c r="F1043" s="55" t="s">
        <v>231</v>
      </c>
      <c r="G1043" s="55" t="s">
        <v>421</v>
      </c>
      <c r="H1043" s="50" t="s">
        <v>2141</v>
      </c>
    </row>
    <row r="1044" spans="1:62" x14ac:dyDescent="0.2">
      <c r="C1044" s="195">
        <v>44582</v>
      </c>
      <c r="D1044" s="55">
        <v>260</v>
      </c>
      <c r="E1044" s="55" t="s">
        <v>2142</v>
      </c>
      <c r="F1044" s="55" t="s">
        <v>210</v>
      </c>
      <c r="G1044" s="55" t="s">
        <v>306</v>
      </c>
      <c r="H1044" s="50" t="s">
        <v>2143</v>
      </c>
    </row>
    <row r="1045" spans="1:62" x14ac:dyDescent="0.2">
      <c r="C1045" s="195">
        <v>44564</v>
      </c>
      <c r="D1045" s="55">
        <v>260</v>
      </c>
      <c r="E1045" s="55" t="s">
        <v>2144</v>
      </c>
      <c r="F1045" s="55" t="s">
        <v>196</v>
      </c>
      <c r="G1045" s="55" t="s">
        <v>557</v>
      </c>
      <c r="H1045" s="50" t="s">
        <v>2145</v>
      </c>
    </row>
    <row r="1046" spans="1:62" x14ac:dyDescent="0.2">
      <c r="C1046" s="195">
        <v>44565</v>
      </c>
      <c r="D1046" s="55">
        <v>280</v>
      </c>
      <c r="E1046" s="55" t="s">
        <v>2146</v>
      </c>
      <c r="F1046" s="55" t="s">
        <v>202</v>
      </c>
      <c r="G1046" s="55" t="s">
        <v>341</v>
      </c>
      <c r="H1046" s="50" t="s">
        <v>2147</v>
      </c>
    </row>
    <row r="1047" spans="1:62" x14ac:dyDescent="0.2">
      <c r="C1047" s="195">
        <v>44572</v>
      </c>
      <c r="D1047" s="55">
        <v>280</v>
      </c>
      <c r="E1047" s="55" t="s">
        <v>2148</v>
      </c>
      <c r="F1047" s="55" t="s">
        <v>219</v>
      </c>
      <c r="G1047" s="55" t="s">
        <v>451</v>
      </c>
      <c r="H1047" s="50" t="s">
        <v>2149</v>
      </c>
    </row>
    <row r="1048" spans="1:62" x14ac:dyDescent="0.2">
      <c r="C1048" s="195">
        <v>44568</v>
      </c>
      <c r="D1048" s="55">
        <v>260</v>
      </c>
      <c r="E1048" s="55" t="s">
        <v>2150</v>
      </c>
      <c r="F1048" s="55" t="s">
        <v>390</v>
      </c>
      <c r="G1048" s="55" t="s">
        <v>490</v>
      </c>
      <c r="H1048" s="50" t="s">
        <v>2151</v>
      </c>
    </row>
    <row r="1049" spans="1:62" x14ac:dyDescent="0.2">
      <c r="C1049" s="195">
        <v>44572</v>
      </c>
      <c r="D1049" s="55">
        <v>280</v>
      </c>
      <c r="E1049" s="55" t="s">
        <v>2152</v>
      </c>
      <c r="F1049" s="55" t="s">
        <v>219</v>
      </c>
      <c r="G1049" s="55" t="s">
        <v>220</v>
      </c>
      <c r="H1049" s="50" t="s">
        <v>2153</v>
      </c>
    </row>
    <row r="1050" spans="1:62" x14ac:dyDescent="0.2">
      <c r="C1050" s="195">
        <v>44567</v>
      </c>
      <c r="D1050" s="55">
        <v>260</v>
      </c>
      <c r="E1050" s="55" t="s">
        <v>2154</v>
      </c>
      <c r="F1050" s="55" t="s">
        <v>231</v>
      </c>
      <c r="G1050" s="55" t="s">
        <v>255</v>
      </c>
      <c r="H1050" s="50" t="s">
        <v>2155</v>
      </c>
    </row>
    <row r="1051" spans="1:62" x14ac:dyDescent="0.2">
      <c r="C1051" s="195">
        <v>44580</v>
      </c>
      <c r="D1051" s="55">
        <v>280</v>
      </c>
      <c r="E1051" s="55" t="s">
        <v>2156</v>
      </c>
      <c r="F1051" s="55" t="s">
        <v>231</v>
      </c>
      <c r="G1051" s="55" t="s">
        <v>387</v>
      </c>
      <c r="H1051" s="50" t="s">
        <v>2157</v>
      </c>
    </row>
    <row r="1052" spans="1:62" x14ac:dyDescent="0.2">
      <c r="C1052" s="195">
        <v>44580</v>
      </c>
      <c r="D1052" s="55">
        <v>260</v>
      </c>
      <c r="E1052" s="55" t="s">
        <v>2158</v>
      </c>
      <c r="F1052" s="55" t="s">
        <v>263</v>
      </c>
      <c r="G1052" s="55" t="s">
        <v>506</v>
      </c>
      <c r="H1052" s="50" t="s">
        <v>2159</v>
      </c>
    </row>
    <row r="1053" spans="1:62" x14ac:dyDescent="0.2">
      <c r="C1053" s="195">
        <v>44566</v>
      </c>
      <c r="D1053" s="55">
        <v>280</v>
      </c>
      <c r="E1053" s="55" t="s">
        <v>2160</v>
      </c>
      <c r="F1053" s="55" t="s">
        <v>244</v>
      </c>
      <c r="G1053" s="55" t="s">
        <v>260</v>
      </c>
      <c r="H1053" s="50" t="s">
        <v>2161</v>
      </c>
    </row>
    <row r="1054" spans="1:62" x14ac:dyDescent="0.2">
      <c r="C1054" s="195">
        <v>44564</v>
      </c>
      <c r="D1054" s="55">
        <v>280</v>
      </c>
      <c r="E1054" s="55" t="s">
        <v>2162</v>
      </c>
      <c r="F1054" s="55" t="s">
        <v>206</v>
      </c>
      <c r="G1054" s="55" t="s">
        <v>228</v>
      </c>
      <c r="H1054" s="50" t="s">
        <v>2163</v>
      </c>
    </row>
    <row r="1055" spans="1:62" x14ac:dyDescent="0.2">
      <c r="A1055" s="57">
        <v>122</v>
      </c>
      <c r="B1055" t="s">
        <v>836</v>
      </c>
      <c r="C1055" s="195">
        <v>44565</v>
      </c>
      <c r="D1055" s="55">
        <v>280</v>
      </c>
      <c r="E1055" s="55" t="s">
        <v>2164</v>
      </c>
      <c r="F1055" s="55" t="s">
        <v>263</v>
      </c>
      <c r="G1055" s="55" t="s">
        <v>995</v>
      </c>
      <c r="I1055" s="46" t="s">
        <v>839</v>
      </c>
      <c r="J1055" s="52">
        <v>1</v>
      </c>
      <c r="K1055" s="52">
        <v>1</v>
      </c>
      <c r="O1055" s="1">
        <v>1</v>
      </c>
      <c r="S1055" s="1">
        <v>1</v>
      </c>
      <c r="W1055" s="1">
        <v>1</v>
      </c>
      <c r="AA1055" s="1">
        <v>4</v>
      </c>
      <c r="AB1055" s="1">
        <v>1</v>
      </c>
      <c r="AC1055" s="59">
        <v>1</v>
      </c>
      <c r="AD1055" s="1">
        <v>1</v>
      </c>
      <c r="AE1055" s="1">
        <v>3</v>
      </c>
      <c r="AF1055" s="1">
        <v>4</v>
      </c>
      <c r="AG1055">
        <v>4</v>
      </c>
      <c r="AH1055">
        <v>2</v>
      </c>
      <c r="AI1055">
        <v>2</v>
      </c>
      <c r="AJ1055">
        <v>2</v>
      </c>
      <c r="AK1055">
        <v>2</v>
      </c>
      <c r="AL1055">
        <v>2</v>
      </c>
      <c r="AM1055">
        <v>4</v>
      </c>
      <c r="AS1055">
        <v>4</v>
      </c>
      <c r="AT1055">
        <v>1</v>
      </c>
      <c r="AU1055">
        <v>1</v>
      </c>
      <c r="AZ1055">
        <v>1</v>
      </c>
      <c r="BA1055">
        <v>1</v>
      </c>
      <c r="BB1055">
        <v>1</v>
      </c>
      <c r="BC1055">
        <v>1</v>
      </c>
      <c r="BD1055">
        <v>1</v>
      </c>
      <c r="BE1055">
        <v>4</v>
      </c>
      <c r="BF1055">
        <v>4</v>
      </c>
      <c r="BG1055">
        <v>4</v>
      </c>
      <c r="BH1055">
        <v>4</v>
      </c>
      <c r="BI1055">
        <v>4</v>
      </c>
      <c r="BJ1055">
        <v>1</v>
      </c>
    </row>
    <row r="1056" spans="1:62" x14ac:dyDescent="0.2">
      <c r="C1056" s="195">
        <v>44573</v>
      </c>
      <c r="D1056" s="55">
        <v>260</v>
      </c>
      <c r="E1056" s="55" t="s">
        <v>2165</v>
      </c>
      <c r="F1056" s="55" t="s">
        <v>231</v>
      </c>
      <c r="G1056" s="55" t="s">
        <v>387</v>
      </c>
      <c r="H1056" s="50" t="s">
        <v>2166</v>
      </c>
    </row>
    <row r="1057" spans="3:8" x14ac:dyDescent="0.2">
      <c r="C1057" s="195">
        <v>44581</v>
      </c>
      <c r="D1057" s="55">
        <v>260</v>
      </c>
      <c r="E1057" s="55" t="s">
        <v>2167</v>
      </c>
      <c r="F1057" s="55" t="s">
        <v>267</v>
      </c>
      <c r="G1057" s="55" t="s">
        <v>1109</v>
      </c>
      <c r="H1057" s="50" t="s">
        <v>224</v>
      </c>
    </row>
    <row r="1058" spans="3:8" x14ac:dyDescent="0.2">
      <c r="C1058" s="195">
        <v>44564</v>
      </c>
      <c r="D1058" s="55">
        <v>280</v>
      </c>
      <c r="E1058" s="55" t="s">
        <v>2168</v>
      </c>
      <c r="F1058" s="55" t="s">
        <v>202</v>
      </c>
      <c r="G1058" s="55" t="s">
        <v>1146</v>
      </c>
      <c r="H1058" s="50" t="s">
        <v>2169</v>
      </c>
    </row>
    <row r="1059" spans="3:8" x14ac:dyDescent="0.2">
      <c r="C1059" s="195">
        <v>44567</v>
      </c>
      <c r="D1059" s="55">
        <v>260</v>
      </c>
      <c r="E1059" s="55" t="s">
        <v>2170</v>
      </c>
      <c r="F1059" s="55" t="s">
        <v>210</v>
      </c>
      <c r="G1059" s="55" t="s">
        <v>383</v>
      </c>
      <c r="H1059" s="50" t="s">
        <v>224</v>
      </c>
    </row>
    <row r="1060" spans="3:8" x14ac:dyDescent="0.2">
      <c r="C1060" s="195">
        <v>44582</v>
      </c>
      <c r="D1060" s="55">
        <v>280</v>
      </c>
      <c r="E1060" s="55" t="s">
        <v>2171</v>
      </c>
      <c r="F1060" s="55" t="s">
        <v>192</v>
      </c>
      <c r="G1060" s="55" t="s">
        <v>258</v>
      </c>
      <c r="H1060" s="50" t="s">
        <v>2172</v>
      </c>
    </row>
    <row r="1061" spans="3:8" x14ac:dyDescent="0.2">
      <c r="C1061" s="195">
        <v>44568</v>
      </c>
      <c r="D1061" s="55">
        <v>260</v>
      </c>
      <c r="E1061" s="55" t="s">
        <v>2173</v>
      </c>
      <c r="F1061" s="55" t="s">
        <v>231</v>
      </c>
      <c r="G1061" s="55" t="s">
        <v>232</v>
      </c>
      <c r="H1061" s="50" t="s">
        <v>224</v>
      </c>
    </row>
    <row r="1062" spans="3:8" x14ac:dyDescent="0.2">
      <c r="C1062" s="195">
        <v>44580</v>
      </c>
      <c r="D1062" s="55">
        <v>280</v>
      </c>
      <c r="E1062" s="55" t="s">
        <v>2174</v>
      </c>
      <c r="F1062" s="55" t="s">
        <v>263</v>
      </c>
      <c r="G1062" s="55" t="s">
        <v>413</v>
      </c>
      <c r="H1062" s="50" t="s">
        <v>224</v>
      </c>
    </row>
    <row r="1063" spans="3:8" x14ac:dyDescent="0.2">
      <c r="C1063" s="195">
        <v>44580</v>
      </c>
      <c r="D1063" s="55">
        <v>280</v>
      </c>
      <c r="E1063" s="55" t="s">
        <v>2175</v>
      </c>
      <c r="F1063" s="55" t="s">
        <v>231</v>
      </c>
      <c r="G1063" s="55" t="s">
        <v>387</v>
      </c>
      <c r="H1063" s="50" t="s">
        <v>2176</v>
      </c>
    </row>
    <row r="1064" spans="3:8" x14ac:dyDescent="0.2">
      <c r="C1064" s="195">
        <v>44580</v>
      </c>
      <c r="D1064" s="55">
        <v>280</v>
      </c>
      <c r="E1064" s="55" t="s">
        <v>2177</v>
      </c>
      <c r="F1064" s="55" t="s">
        <v>210</v>
      </c>
      <c r="G1064" s="55" t="s">
        <v>235</v>
      </c>
      <c r="H1064" s="50" t="s">
        <v>2178</v>
      </c>
    </row>
    <row r="1065" spans="3:8" x14ac:dyDescent="0.2">
      <c r="C1065" s="195">
        <v>44568</v>
      </c>
      <c r="D1065" s="55">
        <v>260</v>
      </c>
      <c r="E1065" s="55" t="s">
        <v>2179</v>
      </c>
      <c r="F1065" s="55" t="s">
        <v>206</v>
      </c>
      <c r="G1065" s="55" t="s">
        <v>207</v>
      </c>
      <c r="H1065" s="50" t="s">
        <v>2180</v>
      </c>
    </row>
    <row r="1066" spans="3:8" x14ac:dyDescent="0.2">
      <c r="C1066" s="195">
        <v>44581</v>
      </c>
      <c r="D1066" s="55">
        <v>260</v>
      </c>
      <c r="E1066" s="55" t="s">
        <v>2181</v>
      </c>
      <c r="F1066" s="55" t="s">
        <v>202</v>
      </c>
      <c r="G1066" s="55" t="s">
        <v>203</v>
      </c>
      <c r="H1066" s="50" t="s">
        <v>2182</v>
      </c>
    </row>
    <row r="1067" spans="3:8" x14ac:dyDescent="0.2">
      <c r="C1067" s="195">
        <v>44592</v>
      </c>
      <c r="D1067" s="55">
        <v>280</v>
      </c>
      <c r="E1067" s="55" t="s">
        <v>2183</v>
      </c>
      <c r="F1067" s="55" t="s">
        <v>390</v>
      </c>
      <c r="G1067" s="55" t="s">
        <v>590</v>
      </c>
      <c r="H1067" s="50" t="s">
        <v>2184</v>
      </c>
    </row>
    <row r="1068" spans="3:8" x14ac:dyDescent="0.2">
      <c r="C1068" s="195">
        <v>44585</v>
      </c>
      <c r="D1068" s="55">
        <v>260</v>
      </c>
      <c r="E1068" s="55" t="s">
        <v>2185</v>
      </c>
      <c r="F1068" s="55" t="s">
        <v>291</v>
      </c>
      <c r="G1068" s="55" t="s">
        <v>480</v>
      </c>
      <c r="H1068" s="50" t="s">
        <v>2186</v>
      </c>
    </row>
    <row r="1069" spans="3:8" x14ac:dyDescent="0.2">
      <c r="C1069" s="195">
        <v>44571</v>
      </c>
      <c r="D1069" s="55">
        <v>280</v>
      </c>
      <c r="E1069" s="55" t="s">
        <v>2187</v>
      </c>
      <c r="F1069" s="55" t="s">
        <v>272</v>
      </c>
      <c r="G1069" s="55" t="s">
        <v>533</v>
      </c>
      <c r="H1069" s="50" t="s">
        <v>2188</v>
      </c>
    </row>
    <row r="1070" spans="3:8" x14ac:dyDescent="0.2">
      <c r="C1070" s="195">
        <v>44581</v>
      </c>
      <c r="D1070" s="55">
        <v>280</v>
      </c>
      <c r="E1070" s="55" t="s">
        <v>2189</v>
      </c>
      <c r="F1070" s="55" t="s">
        <v>231</v>
      </c>
      <c r="G1070" s="55" t="s">
        <v>1098</v>
      </c>
    </row>
    <row r="1071" spans="3:8" x14ac:dyDescent="0.2">
      <c r="C1071" s="195">
        <v>44586</v>
      </c>
      <c r="D1071" s="55">
        <v>260</v>
      </c>
      <c r="E1071" s="55" t="s">
        <v>2190</v>
      </c>
      <c r="F1071" s="55" t="s">
        <v>231</v>
      </c>
      <c r="G1071" s="55" t="s">
        <v>421</v>
      </c>
      <c r="H1071" s="50" t="s">
        <v>2191</v>
      </c>
    </row>
    <row r="1072" spans="3:8" x14ac:dyDescent="0.2">
      <c r="C1072" s="195">
        <v>44581</v>
      </c>
      <c r="D1072" s="55">
        <v>260</v>
      </c>
      <c r="E1072" s="55" t="s">
        <v>2192</v>
      </c>
      <c r="F1072" s="55" t="s">
        <v>263</v>
      </c>
      <c r="G1072" s="55" t="s">
        <v>413</v>
      </c>
      <c r="H1072" s="50" t="s">
        <v>2193</v>
      </c>
    </row>
    <row r="1073" spans="1:62" x14ac:dyDescent="0.2">
      <c r="C1073" s="195">
        <v>44587</v>
      </c>
      <c r="D1073" s="55">
        <v>280</v>
      </c>
      <c r="E1073" s="55" t="s">
        <v>2194</v>
      </c>
      <c r="F1073" s="55" t="s">
        <v>244</v>
      </c>
      <c r="G1073" s="55" t="s">
        <v>393</v>
      </c>
      <c r="H1073" s="50" t="s">
        <v>224</v>
      </c>
    </row>
    <row r="1074" spans="1:62" x14ac:dyDescent="0.2">
      <c r="C1074" s="195">
        <v>44572</v>
      </c>
      <c r="D1074" s="55">
        <v>280</v>
      </c>
      <c r="E1074" s="55" t="s">
        <v>2195</v>
      </c>
      <c r="F1074" s="55" t="s">
        <v>390</v>
      </c>
      <c r="G1074" s="55" t="s">
        <v>391</v>
      </c>
      <c r="H1074" s="50" t="s">
        <v>2196</v>
      </c>
    </row>
    <row r="1075" spans="1:62" x14ac:dyDescent="0.2">
      <c r="C1075" s="195">
        <v>44571</v>
      </c>
      <c r="D1075" s="55">
        <v>280</v>
      </c>
      <c r="E1075" s="55" t="s">
        <v>2197</v>
      </c>
      <c r="F1075" s="55" t="s">
        <v>231</v>
      </c>
      <c r="G1075" s="55" t="s">
        <v>255</v>
      </c>
      <c r="H1075" s="50" t="s">
        <v>2198</v>
      </c>
    </row>
    <row r="1076" spans="1:62" x14ac:dyDescent="0.2">
      <c r="C1076" s="195">
        <v>44586</v>
      </c>
      <c r="D1076" s="55">
        <v>260</v>
      </c>
      <c r="E1076" s="55" t="s">
        <v>2199</v>
      </c>
      <c r="F1076" s="55" t="s">
        <v>231</v>
      </c>
      <c r="G1076" s="55" t="s">
        <v>387</v>
      </c>
      <c r="H1076" s="50" t="s">
        <v>2200</v>
      </c>
    </row>
    <row r="1077" spans="1:62" x14ac:dyDescent="0.2">
      <c r="C1077" s="195">
        <v>44588</v>
      </c>
      <c r="D1077" s="55">
        <v>280</v>
      </c>
      <c r="E1077" s="55" t="s">
        <v>2201</v>
      </c>
      <c r="F1077" s="55" t="s">
        <v>267</v>
      </c>
      <c r="G1077" s="55" t="s">
        <v>708</v>
      </c>
      <c r="H1077" s="50" t="s">
        <v>224</v>
      </c>
    </row>
    <row r="1078" spans="1:62" x14ac:dyDescent="0.2">
      <c r="C1078" s="195">
        <v>44575</v>
      </c>
      <c r="D1078" s="55">
        <v>280</v>
      </c>
      <c r="E1078" s="55" t="s">
        <v>2202</v>
      </c>
      <c r="F1078" s="55" t="s">
        <v>231</v>
      </c>
      <c r="G1078" s="55" t="s">
        <v>435</v>
      </c>
      <c r="H1078" s="50" t="s">
        <v>224</v>
      </c>
    </row>
    <row r="1079" spans="1:62" x14ac:dyDescent="0.2">
      <c r="C1079" s="195">
        <v>44564</v>
      </c>
      <c r="D1079" s="55">
        <v>280</v>
      </c>
      <c r="E1079" s="55" t="s">
        <v>2203</v>
      </c>
      <c r="F1079" s="55" t="s">
        <v>267</v>
      </c>
      <c r="G1079" s="55" t="s">
        <v>535</v>
      </c>
      <c r="H1079" s="50" t="s">
        <v>224</v>
      </c>
    </row>
    <row r="1080" spans="1:62" x14ac:dyDescent="0.2">
      <c r="C1080" s="195">
        <v>44575</v>
      </c>
      <c r="D1080" s="55">
        <v>280</v>
      </c>
      <c r="E1080" s="55" t="s">
        <v>2204</v>
      </c>
      <c r="F1080" s="55" t="s">
        <v>206</v>
      </c>
      <c r="G1080" s="55" t="s">
        <v>676</v>
      </c>
      <c r="H1080" s="50" t="s">
        <v>2205</v>
      </c>
    </row>
    <row r="1081" spans="1:62" x14ac:dyDescent="0.2">
      <c r="C1081" s="195">
        <v>44573</v>
      </c>
      <c r="D1081" s="55">
        <v>280</v>
      </c>
      <c r="E1081" s="55" t="s">
        <v>2206</v>
      </c>
      <c r="F1081" s="55" t="s">
        <v>267</v>
      </c>
      <c r="G1081" s="55" t="s">
        <v>708</v>
      </c>
      <c r="H1081" s="50" t="s">
        <v>2207</v>
      </c>
    </row>
    <row r="1082" spans="1:62" x14ac:dyDescent="0.2">
      <c r="C1082" s="195">
        <v>44566</v>
      </c>
      <c r="D1082" s="55">
        <v>280</v>
      </c>
      <c r="E1082" s="55" t="s">
        <v>2208</v>
      </c>
      <c r="F1082" s="55" t="s">
        <v>263</v>
      </c>
      <c r="G1082" s="55" t="s">
        <v>633</v>
      </c>
      <c r="H1082" s="50" t="s">
        <v>2209</v>
      </c>
    </row>
    <row r="1083" spans="1:62" x14ac:dyDescent="0.2">
      <c r="C1083" s="195">
        <v>44579</v>
      </c>
      <c r="D1083" s="55">
        <v>260</v>
      </c>
      <c r="E1083" s="55" t="s">
        <v>2210</v>
      </c>
      <c r="F1083" s="55" t="s">
        <v>263</v>
      </c>
      <c r="G1083" s="55" t="s">
        <v>506</v>
      </c>
      <c r="H1083" s="50" t="s">
        <v>224</v>
      </c>
    </row>
    <row r="1084" spans="1:62" x14ac:dyDescent="0.2">
      <c r="A1084" s="57">
        <v>122</v>
      </c>
      <c r="B1084" t="s">
        <v>836</v>
      </c>
      <c r="C1084" s="195">
        <v>44566</v>
      </c>
      <c r="D1084" s="55">
        <v>280</v>
      </c>
      <c r="E1084" s="55" t="s">
        <v>2211</v>
      </c>
      <c r="F1084" s="55" t="s">
        <v>202</v>
      </c>
      <c r="G1084" s="55" t="s">
        <v>203</v>
      </c>
      <c r="I1084" s="46" t="s">
        <v>839</v>
      </c>
      <c r="J1084" s="52">
        <v>4</v>
      </c>
      <c r="K1084" s="52">
        <v>4</v>
      </c>
      <c r="L1084" s="52">
        <v>2</v>
      </c>
      <c r="M1084" s="52">
        <v>2</v>
      </c>
      <c r="N1084" s="52">
        <v>2</v>
      </c>
      <c r="O1084" s="52">
        <v>4</v>
      </c>
      <c r="P1084" s="58">
        <v>2</v>
      </c>
      <c r="Q1084" s="52">
        <v>2</v>
      </c>
      <c r="R1084" s="52">
        <v>2</v>
      </c>
      <c r="S1084" s="52">
        <v>4</v>
      </c>
      <c r="T1084" s="58">
        <v>2</v>
      </c>
      <c r="U1084" s="52">
        <v>2</v>
      </c>
      <c r="V1084" s="52">
        <v>3</v>
      </c>
      <c r="W1084" s="52">
        <v>4</v>
      </c>
      <c r="X1084" s="52">
        <v>2</v>
      </c>
      <c r="Y1084" s="52">
        <v>2</v>
      </c>
      <c r="Z1084" s="52">
        <v>2</v>
      </c>
      <c r="AA1084" s="52">
        <v>2</v>
      </c>
      <c r="AG1084">
        <v>4</v>
      </c>
      <c r="AH1084">
        <v>3</v>
      </c>
      <c r="AI1084">
        <v>3</v>
      </c>
      <c r="AJ1084">
        <v>3</v>
      </c>
      <c r="AK1084">
        <v>3</v>
      </c>
      <c r="AL1084">
        <v>3</v>
      </c>
      <c r="AM1084">
        <v>4</v>
      </c>
      <c r="AS1084">
        <v>4</v>
      </c>
      <c r="AT1084">
        <v>2</v>
      </c>
      <c r="AU1084">
        <v>1</v>
      </c>
      <c r="AZ1084">
        <v>3</v>
      </c>
      <c r="BA1084">
        <v>3</v>
      </c>
      <c r="BB1084">
        <v>3</v>
      </c>
      <c r="BC1084">
        <v>3</v>
      </c>
      <c r="BD1084">
        <v>3</v>
      </c>
      <c r="BE1084">
        <v>3</v>
      </c>
      <c r="BF1084">
        <v>3</v>
      </c>
      <c r="BG1084">
        <v>3</v>
      </c>
      <c r="BH1084">
        <v>3</v>
      </c>
      <c r="BI1084">
        <v>3</v>
      </c>
      <c r="BJ1084">
        <v>1</v>
      </c>
    </row>
    <row r="1085" spans="1:62" x14ac:dyDescent="0.2">
      <c r="C1085" s="195">
        <v>44566</v>
      </c>
      <c r="D1085" s="55">
        <v>260</v>
      </c>
      <c r="E1085" s="55" t="s">
        <v>2212</v>
      </c>
      <c r="F1085" s="55" t="s">
        <v>244</v>
      </c>
      <c r="G1085" s="55" t="s">
        <v>245</v>
      </c>
      <c r="H1085" s="50" t="s">
        <v>224</v>
      </c>
    </row>
    <row r="1086" spans="1:62" x14ac:dyDescent="0.2">
      <c r="C1086" s="195">
        <v>44565</v>
      </c>
      <c r="D1086" s="55">
        <v>260</v>
      </c>
      <c r="E1086" s="55" t="s">
        <v>2213</v>
      </c>
      <c r="F1086" s="55" t="s">
        <v>390</v>
      </c>
      <c r="G1086" s="55" t="s">
        <v>490</v>
      </c>
      <c r="H1086" s="50" t="s">
        <v>2214</v>
      </c>
    </row>
    <row r="1087" spans="1:62" x14ac:dyDescent="0.2">
      <c r="C1087" s="195">
        <v>44592</v>
      </c>
      <c r="D1087" s="55">
        <v>260</v>
      </c>
      <c r="E1087" s="55" t="s">
        <v>2215</v>
      </c>
      <c r="F1087" s="55" t="s">
        <v>210</v>
      </c>
      <c r="G1087" s="55" t="s">
        <v>1572</v>
      </c>
      <c r="H1087" s="50" t="s">
        <v>2216</v>
      </c>
    </row>
    <row r="1088" spans="1:62" x14ac:dyDescent="0.2">
      <c r="C1088" s="195">
        <v>44572</v>
      </c>
      <c r="D1088" s="55">
        <v>280</v>
      </c>
      <c r="E1088" s="55" t="s">
        <v>2217</v>
      </c>
      <c r="F1088" s="55" t="s">
        <v>219</v>
      </c>
      <c r="G1088" s="55" t="s">
        <v>220</v>
      </c>
      <c r="H1088" s="50" t="s">
        <v>2218</v>
      </c>
    </row>
    <row r="1089" spans="1:9" x14ac:dyDescent="0.2">
      <c r="C1089" s="195">
        <v>44581</v>
      </c>
      <c r="D1089" s="55">
        <v>280</v>
      </c>
      <c r="E1089" s="55" t="s">
        <v>2219</v>
      </c>
      <c r="F1089" s="55" t="s">
        <v>231</v>
      </c>
      <c r="G1089" s="55" t="s">
        <v>1098</v>
      </c>
      <c r="H1089" s="50" t="s">
        <v>2220</v>
      </c>
    </row>
    <row r="1090" spans="1:9" x14ac:dyDescent="0.2">
      <c r="C1090" s="195">
        <v>44582</v>
      </c>
      <c r="D1090" s="55">
        <v>260</v>
      </c>
      <c r="E1090" s="55" t="s">
        <v>2221</v>
      </c>
      <c r="F1090" s="55" t="s">
        <v>210</v>
      </c>
      <c r="G1090" s="55" t="s">
        <v>306</v>
      </c>
      <c r="H1090" s="50" t="s">
        <v>2222</v>
      </c>
    </row>
    <row r="1091" spans="1:9" x14ac:dyDescent="0.2">
      <c r="C1091" s="195">
        <v>44566</v>
      </c>
      <c r="D1091" s="55">
        <v>260</v>
      </c>
      <c r="E1091" s="55" t="s">
        <v>2223</v>
      </c>
      <c r="F1091" s="55" t="s">
        <v>244</v>
      </c>
      <c r="G1091" s="55" t="s">
        <v>260</v>
      </c>
      <c r="H1091" s="50" t="s">
        <v>2224</v>
      </c>
    </row>
    <row r="1092" spans="1:9" x14ac:dyDescent="0.2">
      <c r="C1092" s="195">
        <v>44579</v>
      </c>
      <c r="D1092" s="55">
        <v>260</v>
      </c>
      <c r="E1092" s="55" t="s">
        <v>2225</v>
      </c>
      <c r="F1092" s="55" t="s">
        <v>231</v>
      </c>
      <c r="G1092" s="55" t="s">
        <v>421</v>
      </c>
      <c r="H1092" s="50" t="s">
        <v>2226</v>
      </c>
    </row>
    <row r="1093" spans="1:9" x14ac:dyDescent="0.2">
      <c r="C1093" s="195">
        <v>44566</v>
      </c>
      <c r="D1093" s="55">
        <v>260</v>
      </c>
      <c r="E1093" s="55" t="s">
        <v>2227</v>
      </c>
      <c r="F1093" s="55" t="s">
        <v>291</v>
      </c>
      <c r="G1093" s="55" t="s">
        <v>480</v>
      </c>
    </row>
    <row r="1094" spans="1:9" x14ac:dyDescent="0.2">
      <c r="C1094" s="195">
        <v>44588</v>
      </c>
      <c r="D1094" s="55">
        <v>280</v>
      </c>
      <c r="E1094" s="55" t="s">
        <v>2228</v>
      </c>
      <c r="F1094" s="55" t="s">
        <v>231</v>
      </c>
      <c r="G1094" s="55" t="s">
        <v>255</v>
      </c>
      <c r="H1094" s="50" t="s">
        <v>2229</v>
      </c>
    </row>
    <row r="1095" spans="1:9" x14ac:dyDescent="0.2">
      <c r="C1095" s="195">
        <v>44566</v>
      </c>
      <c r="D1095" s="55">
        <v>280</v>
      </c>
      <c r="E1095" s="55" t="s">
        <v>2230</v>
      </c>
      <c r="F1095" s="55" t="s">
        <v>267</v>
      </c>
      <c r="G1095" s="55" t="s">
        <v>708</v>
      </c>
      <c r="H1095" s="50" t="s">
        <v>2231</v>
      </c>
    </row>
    <row r="1096" spans="1:9" x14ac:dyDescent="0.2">
      <c r="C1096" s="195">
        <v>44572</v>
      </c>
      <c r="D1096" s="55">
        <v>280</v>
      </c>
      <c r="E1096" s="55" t="s">
        <v>2232</v>
      </c>
      <c r="F1096" s="55" t="s">
        <v>231</v>
      </c>
      <c r="G1096" s="55" t="s">
        <v>435</v>
      </c>
      <c r="H1096" s="50" t="s">
        <v>2233</v>
      </c>
    </row>
    <row r="1097" spans="1:9" x14ac:dyDescent="0.2">
      <c r="A1097" s="57">
        <v>122</v>
      </c>
      <c r="B1097" t="s">
        <v>836</v>
      </c>
      <c r="C1097" s="195">
        <v>44582</v>
      </c>
      <c r="D1097" s="55">
        <v>260</v>
      </c>
      <c r="E1097" s="55" t="s">
        <v>2234</v>
      </c>
      <c r="F1097" s="55" t="s">
        <v>272</v>
      </c>
      <c r="G1097" s="55" t="s">
        <v>683</v>
      </c>
      <c r="H1097" s="50" t="s">
        <v>224</v>
      </c>
      <c r="I1097" s="46" t="s">
        <v>837</v>
      </c>
    </row>
    <row r="1098" spans="1:9" x14ac:dyDescent="0.2">
      <c r="C1098" s="195">
        <v>44582</v>
      </c>
      <c r="D1098" s="55">
        <v>260</v>
      </c>
      <c r="E1098" s="55" t="s">
        <v>2235</v>
      </c>
      <c r="F1098" s="55" t="s">
        <v>192</v>
      </c>
      <c r="G1098" s="55" t="s">
        <v>324</v>
      </c>
      <c r="H1098" s="50" t="s">
        <v>2236</v>
      </c>
    </row>
    <row r="1099" spans="1:9" x14ac:dyDescent="0.2">
      <c r="C1099" s="195">
        <v>44592</v>
      </c>
      <c r="D1099" s="55">
        <v>280</v>
      </c>
      <c r="E1099" s="55" t="s">
        <v>2237</v>
      </c>
      <c r="F1099" s="55" t="s">
        <v>196</v>
      </c>
      <c r="G1099" s="55" t="s">
        <v>498</v>
      </c>
      <c r="H1099" s="50" t="s">
        <v>2238</v>
      </c>
    </row>
    <row r="1100" spans="1:9" x14ac:dyDescent="0.2">
      <c r="C1100" s="195">
        <v>44586</v>
      </c>
      <c r="D1100" s="55">
        <v>260</v>
      </c>
      <c r="E1100" s="55" t="s">
        <v>2239</v>
      </c>
      <c r="F1100" s="55" t="s">
        <v>390</v>
      </c>
      <c r="G1100" s="55" t="s">
        <v>922</v>
      </c>
      <c r="H1100" s="50" t="s">
        <v>2240</v>
      </c>
    </row>
    <row r="1101" spans="1:9" x14ac:dyDescent="0.2">
      <c r="C1101" s="195">
        <v>44573</v>
      </c>
      <c r="D1101" s="55">
        <v>280</v>
      </c>
      <c r="E1101" s="55" t="s">
        <v>2241</v>
      </c>
      <c r="F1101" s="55" t="s">
        <v>267</v>
      </c>
      <c r="G1101" s="55" t="s">
        <v>708</v>
      </c>
    </row>
    <row r="1102" spans="1:9" x14ac:dyDescent="0.2">
      <c r="C1102" s="195">
        <v>44566</v>
      </c>
      <c r="D1102" s="55">
        <v>280</v>
      </c>
      <c r="E1102" s="55" t="s">
        <v>2242</v>
      </c>
      <c r="F1102" s="55" t="s">
        <v>202</v>
      </c>
      <c r="G1102" s="55" t="s">
        <v>203</v>
      </c>
      <c r="H1102" s="50" t="s">
        <v>2243</v>
      </c>
    </row>
    <row r="1103" spans="1:9" x14ac:dyDescent="0.2">
      <c r="C1103" s="195">
        <v>44568</v>
      </c>
      <c r="D1103" s="55">
        <v>280</v>
      </c>
      <c r="E1103" s="55" t="s">
        <v>2244</v>
      </c>
      <c r="F1103" s="55" t="s">
        <v>192</v>
      </c>
      <c r="G1103" s="55" t="s">
        <v>258</v>
      </c>
      <c r="H1103" s="50" t="s">
        <v>2245</v>
      </c>
    </row>
    <row r="1104" spans="1:9" x14ac:dyDescent="0.2">
      <c r="C1104" s="195">
        <v>44567</v>
      </c>
      <c r="D1104" s="55">
        <v>260</v>
      </c>
      <c r="E1104" s="55" t="s">
        <v>2246</v>
      </c>
      <c r="F1104" s="55" t="s">
        <v>267</v>
      </c>
      <c r="G1104" s="55" t="s">
        <v>442</v>
      </c>
      <c r="H1104" s="50" t="s">
        <v>2247</v>
      </c>
    </row>
    <row r="1105" spans="1:62" x14ac:dyDescent="0.2">
      <c r="C1105" s="195">
        <v>44571</v>
      </c>
      <c r="D1105" s="55">
        <v>280</v>
      </c>
      <c r="E1105" s="55" t="s">
        <v>2248</v>
      </c>
      <c r="F1105" s="55" t="s">
        <v>202</v>
      </c>
      <c r="G1105" s="55" t="s">
        <v>203</v>
      </c>
      <c r="H1105" s="50" t="s">
        <v>224</v>
      </c>
    </row>
    <row r="1106" spans="1:62" x14ac:dyDescent="0.2">
      <c r="C1106" s="195">
        <v>44572</v>
      </c>
      <c r="D1106" s="55">
        <v>280</v>
      </c>
      <c r="E1106" s="55" t="s">
        <v>2249</v>
      </c>
      <c r="F1106" s="55" t="s">
        <v>231</v>
      </c>
      <c r="G1106" s="55" t="s">
        <v>2088</v>
      </c>
      <c r="H1106" s="50" t="s">
        <v>224</v>
      </c>
    </row>
    <row r="1107" spans="1:62" x14ac:dyDescent="0.2">
      <c r="C1107" s="195">
        <v>44588</v>
      </c>
      <c r="D1107" s="55">
        <v>260</v>
      </c>
      <c r="E1107" s="55" t="s">
        <v>2250</v>
      </c>
      <c r="F1107" s="55" t="s">
        <v>210</v>
      </c>
      <c r="G1107" s="55" t="s">
        <v>211</v>
      </c>
      <c r="H1107" s="50" t="s">
        <v>2251</v>
      </c>
    </row>
    <row r="1108" spans="1:62" x14ac:dyDescent="0.2">
      <c r="C1108" s="195">
        <v>44589</v>
      </c>
      <c r="D1108" s="55">
        <v>280</v>
      </c>
      <c r="E1108" s="55" t="s">
        <v>2252</v>
      </c>
      <c r="F1108" s="55" t="s">
        <v>272</v>
      </c>
      <c r="G1108" s="55" t="s">
        <v>533</v>
      </c>
      <c r="H1108" s="50" t="s">
        <v>224</v>
      </c>
    </row>
    <row r="1109" spans="1:62" x14ac:dyDescent="0.2">
      <c r="C1109" s="195">
        <v>44592</v>
      </c>
      <c r="D1109" s="55">
        <v>280</v>
      </c>
      <c r="E1109" s="55" t="s">
        <v>2253</v>
      </c>
      <c r="F1109" s="55" t="s">
        <v>291</v>
      </c>
      <c r="G1109" s="55" t="s">
        <v>643</v>
      </c>
      <c r="H1109" s="50" t="s">
        <v>2254</v>
      </c>
    </row>
    <row r="1110" spans="1:62" x14ac:dyDescent="0.2">
      <c r="C1110" s="195">
        <v>44567</v>
      </c>
      <c r="D1110" s="55">
        <v>280</v>
      </c>
      <c r="E1110" s="55" t="s">
        <v>2255</v>
      </c>
      <c r="F1110" s="55" t="s">
        <v>272</v>
      </c>
      <c r="G1110" s="55" t="s">
        <v>683</v>
      </c>
      <c r="H1110" s="50" t="s">
        <v>2256</v>
      </c>
    </row>
    <row r="1111" spans="1:62" x14ac:dyDescent="0.2">
      <c r="C1111" s="195">
        <v>44580</v>
      </c>
      <c r="D1111" s="55">
        <v>280</v>
      </c>
      <c r="E1111" s="55" t="s">
        <v>2257</v>
      </c>
      <c r="F1111" s="55" t="s">
        <v>210</v>
      </c>
      <c r="G1111" s="55" t="s">
        <v>508</v>
      </c>
      <c r="H1111" s="50" t="s">
        <v>224</v>
      </c>
    </row>
    <row r="1112" spans="1:62" x14ac:dyDescent="0.2">
      <c r="C1112" s="195">
        <v>44580</v>
      </c>
      <c r="D1112" s="55">
        <v>280</v>
      </c>
      <c r="E1112" s="55" t="s">
        <v>2258</v>
      </c>
      <c r="F1112" s="55" t="s">
        <v>231</v>
      </c>
      <c r="G1112" s="55" t="s">
        <v>387</v>
      </c>
      <c r="H1112" s="50" t="s">
        <v>2259</v>
      </c>
    </row>
    <row r="1113" spans="1:62" x14ac:dyDescent="0.2">
      <c r="A1113" s="57">
        <v>122</v>
      </c>
      <c r="B1113" s="162" t="s">
        <v>836</v>
      </c>
      <c r="C1113" s="195">
        <v>44566</v>
      </c>
      <c r="D1113" s="55">
        <v>260</v>
      </c>
      <c r="E1113" s="55" t="s">
        <v>2260</v>
      </c>
      <c r="F1113" s="55" t="s">
        <v>390</v>
      </c>
      <c r="G1113" s="55" t="s">
        <v>922</v>
      </c>
      <c r="I1113" s="46" t="s">
        <v>839</v>
      </c>
      <c r="J1113" s="52">
        <v>1</v>
      </c>
      <c r="K1113" s="52">
        <v>1</v>
      </c>
      <c r="O1113" s="1">
        <v>1</v>
      </c>
      <c r="S1113" s="1">
        <v>1</v>
      </c>
      <c r="W1113" s="1">
        <v>1</v>
      </c>
      <c r="AA1113" s="1">
        <v>1</v>
      </c>
      <c r="AG1113">
        <v>1</v>
      </c>
      <c r="AM1113">
        <v>4</v>
      </c>
      <c r="AS1113">
        <v>4</v>
      </c>
      <c r="AT1113">
        <v>1</v>
      </c>
      <c r="AU1113">
        <v>1</v>
      </c>
      <c r="AZ1113">
        <v>1</v>
      </c>
      <c r="BA1113">
        <v>4</v>
      </c>
      <c r="BB1113">
        <v>4</v>
      </c>
      <c r="BC1113">
        <v>4</v>
      </c>
      <c r="BD1113">
        <v>4</v>
      </c>
      <c r="BE1113">
        <v>1</v>
      </c>
      <c r="BJ1113">
        <v>1</v>
      </c>
    </row>
    <row r="1114" spans="1:62" x14ac:dyDescent="0.2">
      <c r="C1114" s="195">
        <v>44575</v>
      </c>
      <c r="D1114" s="55">
        <v>260</v>
      </c>
      <c r="E1114" s="55" t="s">
        <v>2261</v>
      </c>
      <c r="F1114" s="55" t="s">
        <v>263</v>
      </c>
      <c r="G1114" s="55" t="s">
        <v>995</v>
      </c>
    </row>
    <row r="1115" spans="1:62" x14ac:dyDescent="0.2">
      <c r="C1115" s="195">
        <v>44567</v>
      </c>
      <c r="D1115" s="55">
        <v>280</v>
      </c>
      <c r="E1115" s="55" t="s">
        <v>2262</v>
      </c>
      <c r="F1115" s="55" t="s">
        <v>231</v>
      </c>
      <c r="G1115" s="55" t="s">
        <v>232</v>
      </c>
      <c r="H1115" s="50" t="s">
        <v>2263</v>
      </c>
    </row>
    <row r="1116" spans="1:62" x14ac:dyDescent="0.2">
      <c r="C1116" s="195">
        <v>44582</v>
      </c>
      <c r="D1116" s="55">
        <v>280</v>
      </c>
      <c r="E1116" s="55" t="s">
        <v>2264</v>
      </c>
      <c r="F1116" s="55" t="s">
        <v>231</v>
      </c>
      <c r="G1116" s="55" t="s">
        <v>648</v>
      </c>
      <c r="H1116" s="50" t="s">
        <v>2265</v>
      </c>
    </row>
    <row r="1117" spans="1:62" x14ac:dyDescent="0.2">
      <c r="C1117" s="195">
        <v>44567</v>
      </c>
      <c r="D1117" s="55">
        <v>260</v>
      </c>
      <c r="E1117" s="55" t="s">
        <v>2266</v>
      </c>
      <c r="F1117" s="55" t="s">
        <v>231</v>
      </c>
      <c r="G1117" s="55" t="s">
        <v>421</v>
      </c>
      <c r="H1117" s="50" t="s">
        <v>2267</v>
      </c>
    </row>
    <row r="1118" spans="1:62" x14ac:dyDescent="0.2">
      <c r="C1118" s="195">
        <v>44587</v>
      </c>
      <c r="D1118" s="55">
        <v>260</v>
      </c>
      <c r="E1118" s="55" t="s">
        <v>2268</v>
      </c>
      <c r="F1118" s="55" t="s">
        <v>267</v>
      </c>
      <c r="G1118" s="55" t="s">
        <v>535</v>
      </c>
      <c r="H1118" s="50" t="s">
        <v>2269</v>
      </c>
    </row>
    <row r="1119" spans="1:62" x14ac:dyDescent="0.2">
      <c r="C1119" s="195">
        <v>44575</v>
      </c>
      <c r="D1119" s="55">
        <v>260</v>
      </c>
      <c r="E1119" s="55" t="s">
        <v>2270</v>
      </c>
      <c r="F1119" s="55" t="s">
        <v>210</v>
      </c>
      <c r="G1119" s="55" t="s">
        <v>383</v>
      </c>
      <c r="H1119" s="50" t="s">
        <v>2271</v>
      </c>
    </row>
    <row r="1120" spans="1:62" x14ac:dyDescent="0.2">
      <c r="C1120" s="195">
        <v>44592</v>
      </c>
      <c r="D1120" s="55">
        <v>260</v>
      </c>
      <c r="E1120" s="55" t="s">
        <v>2272</v>
      </c>
      <c r="F1120" s="55" t="s">
        <v>192</v>
      </c>
      <c r="G1120" s="55" t="s">
        <v>401</v>
      </c>
      <c r="H1120" s="50" t="s">
        <v>224</v>
      </c>
    </row>
    <row r="1121" spans="1:62" x14ac:dyDescent="0.2">
      <c r="C1121" s="195">
        <v>44592</v>
      </c>
      <c r="D1121" s="55">
        <v>260</v>
      </c>
      <c r="E1121" s="55" t="s">
        <v>2273</v>
      </c>
      <c r="F1121" s="55" t="s">
        <v>390</v>
      </c>
      <c r="G1121" s="55" t="s">
        <v>408</v>
      </c>
      <c r="H1121" s="50" t="s">
        <v>2274</v>
      </c>
    </row>
    <row r="1122" spans="1:62" x14ac:dyDescent="0.2">
      <c r="C1122" s="195">
        <v>44588</v>
      </c>
      <c r="D1122" s="55">
        <v>280</v>
      </c>
      <c r="E1122" s="55" t="s">
        <v>2275</v>
      </c>
      <c r="F1122" s="55" t="s">
        <v>231</v>
      </c>
      <c r="G1122" s="55" t="s">
        <v>255</v>
      </c>
      <c r="H1122" s="50" t="s">
        <v>2276</v>
      </c>
    </row>
    <row r="1123" spans="1:62" x14ac:dyDescent="0.2">
      <c r="C1123" s="195">
        <v>44581</v>
      </c>
      <c r="D1123" s="55">
        <v>280</v>
      </c>
      <c r="E1123" s="55" t="s">
        <v>2277</v>
      </c>
      <c r="F1123" s="55" t="s">
        <v>272</v>
      </c>
      <c r="G1123" s="55" t="s">
        <v>533</v>
      </c>
      <c r="H1123" s="50" t="s">
        <v>224</v>
      </c>
    </row>
    <row r="1124" spans="1:62" x14ac:dyDescent="0.2">
      <c r="C1124" s="195">
        <v>44568</v>
      </c>
      <c r="D1124" s="55">
        <v>280</v>
      </c>
      <c r="E1124" s="55" t="s">
        <v>2278</v>
      </c>
      <c r="F1124" s="55" t="s">
        <v>390</v>
      </c>
      <c r="G1124" s="55" t="s">
        <v>490</v>
      </c>
      <c r="H1124" s="50" t="s">
        <v>2279</v>
      </c>
    </row>
    <row r="1125" spans="1:62" x14ac:dyDescent="0.2">
      <c r="C1125" s="195">
        <v>44589</v>
      </c>
      <c r="D1125" s="55">
        <v>260</v>
      </c>
      <c r="E1125" s="55" t="s">
        <v>2280</v>
      </c>
      <c r="F1125" s="55" t="s">
        <v>272</v>
      </c>
      <c r="G1125" s="55" t="s">
        <v>1914</v>
      </c>
      <c r="H1125" s="50" t="s">
        <v>2281</v>
      </c>
    </row>
    <row r="1126" spans="1:62" x14ac:dyDescent="0.2">
      <c r="C1126" s="195">
        <v>44571</v>
      </c>
      <c r="D1126" s="55">
        <v>280</v>
      </c>
      <c r="E1126" s="55" t="s">
        <v>2282</v>
      </c>
      <c r="F1126" s="55" t="s">
        <v>272</v>
      </c>
      <c r="G1126" s="55" t="s">
        <v>366</v>
      </c>
      <c r="H1126" s="50" t="s">
        <v>2283</v>
      </c>
    </row>
    <row r="1127" spans="1:62" x14ac:dyDescent="0.2">
      <c r="C1127" s="195">
        <v>44574</v>
      </c>
      <c r="D1127" s="55">
        <v>280</v>
      </c>
      <c r="E1127" s="55" t="s">
        <v>2284</v>
      </c>
      <c r="F1127" s="55" t="s">
        <v>231</v>
      </c>
      <c r="G1127" s="55" t="s">
        <v>255</v>
      </c>
      <c r="H1127" s="50" t="s">
        <v>2285</v>
      </c>
    </row>
    <row r="1128" spans="1:62" x14ac:dyDescent="0.2">
      <c r="C1128" s="195">
        <v>44580</v>
      </c>
      <c r="D1128" s="55">
        <v>280</v>
      </c>
      <c r="E1128" s="55" t="s">
        <v>2286</v>
      </c>
      <c r="F1128" s="55" t="s">
        <v>231</v>
      </c>
      <c r="G1128" s="55" t="s">
        <v>387</v>
      </c>
      <c r="H1128" s="50" t="s">
        <v>224</v>
      </c>
    </row>
    <row r="1129" spans="1:62" x14ac:dyDescent="0.2">
      <c r="C1129" s="195">
        <v>44585</v>
      </c>
      <c r="D1129" s="55">
        <v>280</v>
      </c>
      <c r="E1129" s="55" t="s">
        <v>2287</v>
      </c>
      <c r="F1129" s="55" t="s">
        <v>202</v>
      </c>
      <c r="G1129" s="55" t="s">
        <v>341</v>
      </c>
      <c r="H1129" s="50" t="s">
        <v>2288</v>
      </c>
    </row>
    <row r="1130" spans="1:62" x14ac:dyDescent="0.2">
      <c r="C1130" s="195">
        <v>44568</v>
      </c>
      <c r="D1130" s="55">
        <v>280</v>
      </c>
      <c r="E1130" s="55" t="s">
        <v>2289</v>
      </c>
      <c r="F1130" s="55" t="s">
        <v>206</v>
      </c>
      <c r="G1130" s="55" t="s">
        <v>207</v>
      </c>
      <c r="H1130" s="50" t="s">
        <v>224</v>
      </c>
    </row>
    <row r="1131" spans="1:62" x14ac:dyDescent="0.2">
      <c r="C1131" s="195">
        <v>44574</v>
      </c>
      <c r="D1131" s="55">
        <v>280</v>
      </c>
      <c r="E1131" s="55" t="s">
        <v>2290</v>
      </c>
      <c r="F1131" s="55" t="s">
        <v>263</v>
      </c>
      <c r="G1131" s="55" t="s">
        <v>2291</v>
      </c>
      <c r="H1131" s="50" t="s">
        <v>2292</v>
      </c>
    </row>
    <row r="1132" spans="1:62" x14ac:dyDescent="0.2">
      <c r="C1132" s="195">
        <v>44588</v>
      </c>
      <c r="D1132" s="55">
        <v>260</v>
      </c>
      <c r="E1132" s="55" t="s">
        <v>2293</v>
      </c>
      <c r="F1132" s="55" t="s">
        <v>272</v>
      </c>
      <c r="G1132" s="55" t="s">
        <v>683</v>
      </c>
      <c r="H1132" s="50" t="s">
        <v>2294</v>
      </c>
    </row>
    <row r="1133" spans="1:62" x14ac:dyDescent="0.2">
      <c r="C1133" s="195">
        <v>44580</v>
      </c>
      <c r="D1133" s="55">
        <v>280</v>
      </c>
      <c r="E1133" s="55" t="s">
        <v>2295</v>
      </c>
      <c r="F1133" s="55" t="s">
        <v>263</v>
      </c>
      <c r="G1133" s="55" t="s">
        <v>426</v>
      </c>
      <c r="H1133" s="50" t="s">
        <v>2296</v>
      </c>
    </row>
    <row r="1134" spans="1:62" x14ac:dyDescent="0.2">
      <c r="C1134" s="195">
        <v>44568</v>
      </c>
      <c r="D1134" s="55">
        <v>280</v>
      </c>
      <c r="E1134" s="55" t="s">
        <v>2297</v>
      </c>
      <c r="F1134" s="55" t="s">
        <v>272</v>
      </c>
      <c r="G1134" s="55" t="s">
        <v>683</v>
      </c>
      <c r="H1134" s="50" t="s">
        <v>2298</v>
      </c>
    </row>
    <row r="1135" spans="1:62" x14ac:dyDescent="0.2">
      <c r="C1135" s="195">
        <v>44582</v>
      </c>
      <c r="D1135" s="55">
        <v>280</v>
      </c>
      <c r="E1135" s="55" t="s">
        <v>2299</v>
      </c>
      <c r="F1135" s="55" t="s">
        <v>231</v>
      </c>
      <c r="G1135" s="55" t="s">
        <v>421</v>
      </c>
      <c r="H1135" s="50" t="s">
        <v>224</v>
      </c>
    </row>
    <row r="1136" spans="1:62" x14ac:dyDescent="0.2">
      <c r="A1136" s="57">
        <v>122</v>
      </c>
      <c r="B1136" t="s">
        <v>836</v>
      </c>
      <c r="C1136" s="195">
        <v>44587</v>
      </c>
      <c r="D1136" s="55">
        <v>280</v>
      </c>
      <c r="E1136" s="55" t="s">
        <v>2300</v>
      </c>
      <c r="F1136" s="55" t="s">
        <v>263</v>
      </c>
      <c r="G1136" s="55" t="s">
        <v>633</v>
      </c>
      <c r="I1136" s="46" t="s">
        <v>839</v>
      </c>
      <c r="J1136" s="52">
        <v>1</v>
      </c>
      <c r="K1136" s="52">
        <v>1</v>
      </c>
      <c r="O1136" s="1">
        <v>1</v>
      </c>
      <c r="S1136" s="1">
        <v>1</v>
      </c>
      <c r="W1136" s="1">
        <v>1</v>
      </c>
      <c r="AA1136" s="1">
        <v>1</v>
      </c>
      <c r="AG1136">
        <v>1</v>
      </c>
      <c r="AM1136">
        <v>5</v>
      </c>
      <c r="AS1136">
        <v>4</v>
      </c>
      <c r="AT1136">
        <v>1</v>
      </c>
      <c r="AU1136">
        <v>1</v>
      </c>
      <c r="AZ1136">
        <v>1</v>
      </c>
      <c r="BA1136">
        <v>4</v>
      </c>
      <c r="BB1136">
        <v>4</v>
      </c>
      <c r="BC1136">
        <v>4</v>
      </c>
      <c r="BD1136">
        <v>4</v>
      </c>
      <c r="BE1136">
        <v>1</v>
      </c>
      <c r="BJ1136">
        <v>1</v>
      </c>
    </row>
    <row r="1137" spans="3:8" x14ac:dyDescent="0.2">
      <c r="C1137" s="195">
        <v>44571</v>
      </c>
      <c r="D1137" s="55">
        <v>260</v>
      </c>
      <c r="E1137" s="55" t="s">
        <v>2301</v>
      </c>
      <c r="F1137" s="55" t="s">
        <v>231</v>
      </c>
      <c r="G1137" s="55" t="s">
        <v>482</v>
      </c>
      <c r="H1137" s="50" t="s">
        <v>2302</v>
      </c>
    </row>
    <row r="1138" spans="3:8" x14ac:dyDescent="0.2">
      <c r="C1138" s="195">
        <v>44565</v>
      </c>
      <c r="D1138" s="55">
        <v>280</v>
      </c>
      <c r="E1138" s="55" t="s">
        <v>2303</v>
      </c>
      <c r="F1138" s="55" t="s">
        <v>231</v>
      </c>
      <c r="G1138" s="55" t="s">
        <v>1098</v>
      </c>
      <c r="H1138" s="50" t="s">
        <v>2304</v>
      </c>
    </row>
    <row r="1139" spans="3:8" x14ac:dyDescent="0.2">
      <c r="C1139" s="195">
        <v>44573</v>
      </c>
      <c r="D1139" s="55">
        <v>260</v>
      </c>
      <c r="E1139" s="55" t="s">
        <v>2305</v>
      </c>
      <c r="F1139" s="55" t="s">
        <v>231</v>
      </c>
      <c r="G1139" s="55" t="s">
        <v>387</v>
      </c>
      <c r="H1139" s="50" t="s">
        <v>2306</v>
      </c>
    </row>
    <row r="1140" spans="3:8" x14ac:dyDescent="0.2">
      <c r="C1140" s="195">
        <v>44585</v>
      </c>
      <c r="D1140" s="55">
        <v>260</v>
      </c>
      <c r="E1140" s="55" t="s">
        <v>2307</v>
      </c>
      <c r="F1140" s="55" t="s">
        <v>202</v>
      </c>
      <c r="G1140" s="55" t="s">
        <v>344</v>
      </c>
      <c r="H1140" s="50" t="s">
        <v>2308</v>
      </c>
    </row>
    <row r="1141" spans="3:8" x14ac:dyDescent="0.2">
      <c r="C1141" s="195">
        <v>44579</v>
      </c>
      <c r="D1141" s="55">
        <v>260</v>
      </c>
      <c r="E1141" s="55" t="s">
        <v>2309</v>
      </c>
      <c r="F1141" s="55" t="s">
        <v>231</v>
      </c>
      <c r="G1141" s="55" t="s">
        <v>387</v>
      </c>
      <c r="H1141" s="50" t="s">
        <v>2310</v>
      </c>
    </row>
    <row r="1142" spans="3:8" x14ac:dyDescent="0.2">
      <c r="C1142" s="195">
        <v>44566</v>
      </c>
      <c r="D1142" s="55">
        <v>260</v>
      </c>
      <c r="E1142" s="55" t="s">
        <v>2311</v>
      </c>
      <c r="F1142" s="55" t="s">
        <v>390</v>
      </c>
      <c r="G1142" s="55" t="s">
        <v>408</v>
      </c>
      <c r="H1142" s="50" t="s">
        <v>2312</v>
      </c>
    </row>
    <row r="1143" spans="3:8" x14ac:dyDescent="0.2">
      <c r="C1143" s="195">
        <v>44572</v>
      </c>
      <c r="D1143" s="55">
        <v>260</v>
      </c>
      <c r="E1143" s="55" t="s">
        <v>2313</v>
      </c>
      <c r="F1143" s="55" t="s">
        <v>192</v>
      </c>
      <c r="G1143" s="55" t="s">
        <v>193</v>
      </c>
      <c r="H1143" s="50" t="s">
        <v>2314</v>
      </c>
    </row>
    <row r="1144" spans="3:8" x14ac:dyDescent="0.2">
      <c r="C1144" s="195">
        <v>44589</v>
      </c>
      <c r="D1144" s="55">
        <v>280</v>
      </c>
      <c r="E1144" s="55" t="s">
        <v>2315</v>
      </c>
      <c r="F1144" s="55" t="s">
        <v>206</v>
      </c>
      <c r="G1144" s="55" t="s">
        <v>228</v>
      </c>
      <c r="H1144" s="50" t="s">
        <v>2316</v>
      </c>
    </row>
    <row r="1145" spans="3:8" x14ac:dyDescent="0.2">
      <c r="C1145" s="195">
        <v>44589</v>
      </c>
      <c r="D1145" s="55">
        <v>280</v>
      </c>
      <c r="E1145" s="55" t="s">
        <v>2317</v>
      </c>
      <c r="F1145" s="55" t="s">
        <v>263</v>
      </c>
      <c r="G1145" s="55" t="s">
        <v>633</v>
      </c>
      <c r="H1145" s="50" t="s">
        <v>2318</v>
      </c>
    </row>
    <row r="1146" spans="3:8" x14ac:dyDescent="0.2">
      <c r="C1146" s="195">
        <v>44574</v>
      </c>
      <c r="D1146" s="55">
        <v>280</v>
      </c>
      <c r="E1146" s="55" t="s">
        <v>2319</v>
      </c>
      <c r="F1146" s="55" t="s">
        <v>244</v>
      </c>
      <c r="G1146" s="55" t="s">
        <v>393</v>
      </c>
      <c r="H1146" s="50" t="s">
        <v>2320</v>
      </c>
    </row>
    <row r="1147" spans="3:8" x14ac:dyDescent="0.2">
      <c r="C1147" s="195">
        <v>44592</v>
      </c>
      <c r="D1147" s="55">
        <v>280</v>
      </c>
      <c r="E1147" s="55" t="s">
        <v>2321</v>
      </c>
      <c r="F1147" s="55" t="s">
        <v>210</v>
      </c>
      <c r="G1147" s="55" t="s">
        <v>1572</v>
      </c>
      <c r="H1147" s="50" t="s">
        <v>2322</v>
      </c>
    </row>
    <row r="1148" spans="3:8" x14ac:dyDescent="0.2">
      <c r="C1148" s="195">
        <v>44582</v>
      </c>
      <c r="D1148" s="55">
        <v>260</v>
      </c>
      <c r="E1148" s="55" t="s">
        <v>2323</v>
      </c>
      <c r="F1148" s="55" t="s">
        <v>231</v>
      </c>
      <c r="G1148" s="55" t="s">
        <v>648</v>
      </c>
      <c r="H1148" s="50" t="s">
        <v>2324</v>
      </c>
    </row>
    <row r="1149" spans="3:8" x14ac:dyDescent="0.2">
      <c r="C1149" s="195">
        <v>44564</v>
      </c>
      <c r="D1149" s="55">
        <v>260</v>
      </c>
      <c r="E1149" s="55" t="s">
        <v>2325</v>
      </c>
      <c r="F1149" s="55" t="s">
        <v>202</v>
      </c>
      <c r="G1149" s="55" t="s">
        <v>1146</v>
      </c>
      <c r="H1149" s="50" t="s">
        <v>2326</v>
      </c>
    </row>
    <row r="1150" spans="3:8" x14ac:dyDescent="0.2">
      <c r="C1150" s="195">
        <v>44566</v>
      </c>
      <c r="D1150" s="55">
        <v>260</v>
      </c>
      <c r="E1150" s="55" t="s">
        <v>2327</v>
      </c>
      <c r="F1150" s="55" t="s">
        <v>231</v>
      </c>
      <c r="G1150" s="55" t="s">
        <v>387</v>
      </c>
      <c r="H1150" s="50" t="s">
        <v>2328</v>
      </c>
    </row>
    <row r="1151" spans="3:8" x14ac:dyDescent="0.2">
      <c r="C1151" s="195">
        <v>44566</v>
      </c>
      <c r="D1151" s="55">
        <v>280</v>
      </c>
      <c r="E1151" s="55" t="s">
        <v>2329</v>
      </c>
      <c r="F1151" s="55" t="s">
        <v>206</v>
      </c>
      <c r="G1151" s="55" t="s">
        <v>228</v>
      </c>
      <c r="H1151" s="50" t="s">
        <v>2330</v>
      </c>
    </row>
    <row r="1152" spans="3:8" x14ac:dyDescent="0.2">
      <c r="C1152" s="195">
        <v>44592</v>
      </c>
      <c r="D1152" s="55">
        <v>280</v>
      </c>
      <c r="E1152" s="55" t="s">
        <v>2331</v>
      </c>
      <c r="F1152" s="55" t="s">
        <v>202</v>
      </c>
      <c r="G1152" s="55" t="s">
        <v>2106</v>
      </c>
      <c r="H1152" s="50" t="s">
        <v>2332</v>
      </c>
    </row>
    <row r="1153" spans="1:62" x14ac:dyDescent="0.2">
      <c r="C1153" s="195">
        <v>44592</v>
      </c>
      <c r="D1153" s="55">
        <v>280</v>
      </c>
      <c r="E1153" s="55" t="s">
        <v>2333</v>
      </c>
      <c r="F1153" s="55" t="s">
        <v>196</v>
      </c>
      <c r="G1153" s="55" t="s">
        <v>464</v>
      </c>
      <c r="H1153" s="50" t="s">
        <v>2334</v>
      </c>
    </row>
    <row r="1154" spans="1:62" x14ac:dyDescent="0.2">
      <c r="C1154" s="195">
        <v>44564</v>
      </c>
      <c r="D1154" s="55">
        <v>260</v>
      </c>
      <c r="E1154" s="55" t="s">
        <v>2335</v>
      </c>
      <c r="F1154" s="55" t="s">
        <v>263</v>
      </c>
      <c r="G1154" s="55" t="s">
        <v>264</v>
      </c>
      <c r="H1154" s="50" t="s">
        <v>2336</v>
      </c>
    </row>
    <row r="1155" spans="1:62" x14ac:dyDescent="0.2">
      <c r="C1155" s="195">
        <v>44592</v>
      </c>
      <c r="D1155" s="55">
        <v>260</v>
      </c>
      <c r="E1155" s="55" t="s">
        <v>2337</v>
      </c>
      <c r="F1155" s="55" t="s">
        <v>263</v>
      </c>
      <c r="G1155" s="55" t="s">
        <v>633</v>
      </c>
      <c r="H1155" s="50" t="s">
        <v>2338</v>
      </c>
    </row>
    <row r="1156" spans="1:62" x14ac:dyDescent="0.2">
      <c r="C1156" s="195">
        <v>44592</v>
      </c>
      <c r="D1156" s="55">
        <v>260</v>
      </c>
      <c r="E1156" s="55" t="s">
        <v>2339</v>
      </c>
      <c r="F1156" s="55" t="s">
        <v>291</v>
      </c>
      <c r="G1156" s="55" t="s">
        <v>1247</v>
      </c>
      <c r="H1156" s="50" t="s">
        <v>224</v>
      </c>
    </row>
    <row r="1157" spans="1:62" x14ac:dyDescent="0.2">
      <c r="C1157" s="195">
        <v>44588</v>
      </c>
      <c r="D1157" s="55">
        <v>260</v>
      </c>
      <c r="E1157" s="55" t="s">
        <v>2340</v>
      </c>
      <c r="F1157" s="55" t="s">
        <v>231</v>
      </c>
      <c r="G1157" s="55" t="s">
        <v>255</v>
      </c>
      <c r="H1157" s="50" t="s">
        <v>2341</v>
      </c>
    </row>
    <row r="1158" spans="1:62" x14ac:dyDescent="0.2">
      <c r="C1158" s="195">
        <v>44579</v>
      </c>
      <c r="D1158" s="55">
        <v>280</v>
      </c>
      <c r="E1158" s="55" t="s">
        <v>2342</v>
      </c>
      <c r="F1158" s="55" t="s">
        <v>263</v>
      </c>
      <c r="G1158" s="55" t="s">
        <v>806</v>
      </c>
      <c r="H1158" s="50" t="s">
        <v>224</v>
      </c>
    </row>
    <row r="1159" spans="1:62" x14ac:dyDescent="0.2">
      <c r="C1159" s="195">
        <v>44565</v>
      </c>
      <c r="D1159" s="55">
        <v>260</v>
      </c>
      <c r="E1159" s="55" t="s">
        <v>2343</v>
      </c>
      <c r="F1159" s="55" t="s">
        <v>210</v>
      </c>
      <c r="G1159" s="55" t="s">
        <v>1572</v>
      </c>
      <c r="H1159" s="50" t="s">
        <v>2344</v>
      </c>
    </row>
    <row r="1160" spans="1:62" x14ac:dyDescent="0.2">
      <c r="C1160" s="195">
        <v>44564</v>
      </c>
      <c r="D1160" s="55">
        <v>260</v>
      </c>
      <c r="E1160" s="55" t="s">
        <v>2345</v>
      </c>
      <c r="F1160" s="55" t="s">
        <v>267</v>
      </c>
      <c r="G1160" s="55" t="s">
        <v>535</v>
      </c>
      <c r="H1160" s="50" t="s">
        <v>2346</v>
      </c>
    </row>
    <row r="1161" spans="1:62" x14ac:dyDescent="0.2">
      <c r="A1161" s="57">
        <v>122</v>
      </c>
      <c r="B1161" s="162" t="s">
        <v>836</v>
      </c>
      <c r="C1161" s="195">
        <v>44573</v>
      </c>
      <c r="D1161" s="55">
        <v>260</v>
      </c>
      <c r="E1161" s="55" t="s">
        <v>2347</v>
      </c>
      <c r="F1161" s="55" t="s">
        <v>267</v>
      </c>
      <c r="G1161" s="55" t="s">
        <v>535</v>
      </c>
      <c r="H1161" s="50" t="s">
        <v>224</v>
      </c>
      <c r="I1161" s="46" t="s">
        <v>839</v>
      </c>
      <c r="J1161" s="52">
        <v>1</v>
      </c>
      <c r="K1161" s="52">
        <v>1</v>
      </c>
      <c r="O1161" s="1">
        <v>1</v>
      </c>
      <c r="S1161" s="1">
        <v>1</v>
      </c>
      <c r="W1161" s="1">
        <v>1</v>
      </c>
      <c r="AA1161" s="1">
        <v>1</v>
      </c>
      <c r="AG1161">
        <v>1</v>
      </c>
      <c r="AM1161">
        <v>4</v>
      </c>
      <c r="AS1161">
        <v>4</v>
      </c>
      <c r="AT1161">
        <v>1</v>
      </c>
      <c r="AU1161">
        <v>1</v>
      </c>
      <c r="AZ1161">
        <v>1</v>
      </c>
      <c r="BA1161">
        <v>1</v>
      </c>
      <c r="BB1161">
        <v>1</v>
      </c>
      <c r="BC1161">
        <v>1</v>
      </c>
      <c r="BD1161">
        <v>1</v>
      </c>
      <c r="BE1161">
        <v>1</v>
      </c>
      <c r="BJ1161">
        <v>1</v>
      </c>
    </row>
    <row r="1162" spans="1:62" x14ac:dyDescent="0.2">
      <c r="C1162" s="195">
        <v>44588</v>
      </c>
      <c r="D1162" s="55">
        <v>260</v>
      </c>
      <c r="E1162" s="55" t="s">
        <v>2348</v>
      </c>
      <c r="F1162" s="55" t="s">
        <v>231</v>
      </c>
      <c r="G1162" s="55" t="s">
        <v>255</v>
      </c>
      <c r="H1162" s="50" t="s">
        <v>2349</v>
      </c>
    </row>
    <row r="1163" spans="1:62" x14ac:dyDescent="0.2">
      <c r="A1163" s="57">
        <v>122</v>
      </c>
      <c r="B1163" t="s">
        <v>836</v>
      </c>
      <c r="C1163" s="195">
        <v>44567</v>
      </c>
      <c r="D1163" s="55">
        <v>260</v>
      </c>
      <c r="E1163" s="55" t="s">
        <v>2350</v>
      </c>
      <c r="F1163" s="55" t="s">
        <v>267</v>
      </c>
      <c r="G1163" s="55" t="s">
        <v>442</v>
      </c>
      <c r="H1163" s="50" t="s">
        <v>224</v>
      </c>
      <c r="I1163" s="46" t="s">
        <v>837</v>
      </c>
    </row>
    <row r="1164" spans="1:62" x14ac:dyDescent="0.2">
      <c r="C1164" s="195">
        <v>44566</v>
      </c>
      <c r="D1164" s="55">
        <v>260</v>
      </c>
      <c r="E1164" s="55" t="s">
        <v>2351</v>
      </c>
      <c r="F1164" s="55" t="s">
        <v>244</v>
      </c>
      <c r="G1164" s="55" t="s">
        <v>767</v>
      </c>
      <c r="H1164" s="50" t="s">
        <v>2352</v>
      </c>
    </row>
    <row r="1165" spans="1:62" x14ac:dyDescent="0.2">
      <c r="A1165" s="57">
        <v>122</v>
      </c>
      <c r="B1165" t="s">
        <v>836</v>
      </c>
      <c r="C1165" s="195">
        <v>44587</v>
      </c>
      <c r="D1165" s="55">
        <v>260</v>
      </c>
      <c r="E1165" s="55" t="s">
        <v>2353</v>
      </c>
      <c r="F1165" s="55" t="s">
        <v>231</v>
      </c>
      <c r="G1165" s="55" t="s">
        <v>371</v>
      </c>
      <c r="H1165" s="50" t="s">
        <v>224</v>
      </c>
      <c r="I1165" s="46" t="s">
        <v>837</v>
      </c>
    </row>
    <row r="1166" spans="1:62" x14ac:dyDescent="0.2">
      <c r="C1166" s="195">
        <v>44582</v>
      </c>
      <c r="D1166" s="55">
        <v>280</v>
      </c>
      <c r="E1166" s="55" t="s">
        <v>2354</v>
      </c>
      <c r="F1166" s="55" t="s">
        <v>210</v>
      </c>
      <c r="G1166" s="55" t="s">
        <v>306</v>
      </c>
      <c r="H1166" s="50" t="s">
        <v>2355</v>
      </c>
    </row>
    <row r="1167" spans="1:62" x14ac:dyDescent="0.2">
      <c r="C1167" s="195">
        <v>44580</v>
      </c>
      <c r="D1167" s="55">
        <v>280</v>
      </c>
      <c r="E1167" s="55" t="s">
        <v>2356</v>
      </c>
      <c r="F1167" s="55" t="s">
        <v>231</v>
      </c>
      <c r="G1167" s="55" t="s">
        <v>387</v>
      </c>
      <c r="H1167" s="50" t="s">
        <v>2357</v>
      </c>
    </row>
    <row r="1168" spans="1:62" x14ac:dyDescent="0.2">
      <c r="C1168" s="195">
        <v>44582</v>
      </c>
      <c r="D1168" s="55">
        <v>260</v>
      </c>
      <c r="E1168" s="55" t="s">
        <v>2358</v>
      </c>
      <c r="F1168" s="55" t="s">
        <v>192</v>
      </c>
      <c r="G1168" s="55" t="s">
        <v>563</v>
      </c>
      <c r="H1168" s="50" t="s">
        <v>2359</v>
      </c>
    </row>
    <row r="1169" spans="1:62" x14ac:dyDescent="0.2">
      <c r="C1169" s="195">
        <v>44582</v>
      </c>
      <c r="D1169" s="55">
        <v>280</v>
      </c>
      <c r="E1169" s="55" t="s">
        <v>2360</v>
      </c>
      <c r="F1169" s="55" t="s">
        <v>263</v>
      </c>
      <c r="G1169" s="55" t="s">
        <v>806</v>
      </c>
    </row>
    <row r="1170" spans="1:62" x14ac:dyDescent="0.2">
      <c r="C1170" s="195">
        <v>44564</v>
      </c>
      <c r="D1170" s="55">
        <v>280</v>
      </c>
      <c r="E1170" s="55" t="s">
        <v>2361</v>
      </c>
      <c r="F1170" s="55" t="s">
        <v>196</v>
      </c>
      <c r="G1170" s="55" t="s">
        <v>415</v>
      </c>
      <c r="H1170" s="50" t="s">
        <v>2362</v>
      </c>
    </row>
    <row r="1171" spans="1:62" x14ac:dyDescent="0.2">
      <c r="C1171" s="195">
        <v>44568</v>
      </c>
      <c r="D1171" s="55">
        <v>280</v>
      </c>
      <c r="E1171" s="55" t="s">
        <v>2363</v>
      </c>
      <c r="F1171" s="55" t="s">
        <v>231</v>
      </c>
      <c r="G1171" s="55" t="s">
        <v>482</v>
      </c>
      <c r="H1171" s="50" t="s">
        <v>2364</v>
      </c>
    </row>
    <row r="1172" spans="1:62" x14ac:dyDescent="0.2">
      <c r="C1172" s="195">
        <v>44587</v>
      </c>
      <c r="D1172" s="55">
        <v>260</v>
      </c>
      <c r="E1172" s="55" t="s">
        <v>2365</v>
      </c>
      <c r="F1172" s="55" t="s">
        <v>390</v>
      </c>
      <c r="G1172" s="55" t="s">
        <v>779</v>
      </c>
      <c r="H1172" s="50" t="s">
        <v>2366</v>
      </c>
    </row>
    <row r="1173" spans="1:62" x14ac:dyDescent="0.2">
      <c r="C1173" s="195">
        <v>44573</v>
      </c>
      <c r="D1173" s="55">
        <v>260</v>
      </c>
      <c r="E1173" s="55" t="s">
        <v>2367</v>
      </c>
      <c r="F1173" s="55" t="s">
        <v>267</v>
      </c>
      <c r="G1173" s="55" t="s">
        <v>331</v>
      </c>
      <c r="H1173" s="50" t="s">
        <v>2368</v>
      </c>
    </row>
    <row r="1174" spans="1:62" x14ac:dyDescent="0.2">
      <c r="A1174" s="57">
        <v>122</v>
      </c>
      <c r="B1174" s="162" t="s">
        <v>836</v>
      </c>
      <c r="C1174" s="195">
        <v>44574</v>
      </c>
      <c r="D1174" s="55">
        <v>260</v>
      </c>
      <c r="E1174" s="55" t="s">
        <v>2369</v>
      </c>
      <c r="F1174" s="55" t="s">
        <v>263</v>
      </c>
      <c r="G1174" s="55" t="s">
        <v>633</v>
      </c>
      <c r="H1174" s="50" t="s">
        <v>224</v>
      </c>
      <c r="I1174" s="46" t="s">
        <v>839</v>
      </c>
      <c r="J1174" s="52">
        <v>1</v>
      </c>
      <c r="K1174" s="52">
        <v>1</v>
      </c>
      <c r="O1174" s="1">
        <v>2</v>
      </c>
      <c r="S1174" s="1">
        <v>5</v>
      </c>
      <c r="W1174" s="1">
        <v>5</v>
      </c>
      <c r="AA1174" s="1">
        <v>5</v>
      </c>
      <c r="AG1174">
        <v>5</v>
      </c>
      <c r="AM1174">
        <v>1</v>
      </c>
      <c r="AN1174">
        <v>1</v>
      </c>
      <c r="AO1174">
        <v>1</v>
      </c>
      <c r="AP1174">
        <v>4</v>
      </c>
      <c r="AQ1174">
        <v>1</v>
      </c>
      <c r="AR1174">
        <v>4</v>
      </c>
      <c r="AS1174">
        <v>1</v>
      </c>
      <c r="AT1174">
        <v>1</v>
      </c>
      <c r="AU1174">
        <v>1</v>
      </c>
      <c r="AZ1174">
        <v>1</v>
      </c>
      <c r="BA1174">
        <v>1</v>
      </c>
      <c r="BB1174">
        <v>1</v>
      </c>
      <c r="BC1174">
        <v>1</v>
      </c>
      <c r="BD1174">
        <v>1</v>
      </c>
      <c r="BE1174">
        <v>1</v>
      </c>
      <c r="BJ1174">
        <v>1</v>
      </c>
    </row>
    <row r="1175" spans="1:62" x14ac:dyDescent="0.2">
      <c r="C1175" s="195">
        <v>44565</v>
      </c>
      <c r="D1175" s="55">
        <v>260</v>
      </c>
      <c r="E1175" s="55" t="s">
        <v>2370</v>
      </c>
      <c r="F1175" s="55" t="s">
        <v>267</v>
      </c>
      <c r="G1175" s="55" t="s">
        <v>331</v>
      </c>
      <c r="H1175" s="50" t="s">
        <v>224</v>
      </c>
    </row>
    <row r="1176" spans="1:62" x14ac:dyDescent="0.2">
      <c r="C1176" s="195">
        <v>44586</v>
      </c>
      <c r="D1176" s="55">
        <v>260</v>
      </c>
      <c r="E1176" s="55" t="s">
        <v>2371</v>
      </c>
      <c r="F1176" s="55" t="s">
        <v>192</v>
      </c>
      <c r="G1176" s="55" t="s">
        <v>487</v>
      </c>
      <c r="H1176" s="50" t="s">
        <v>2372</v>
      </c>
    </row>
    <row r="1177" spans="1:62" x14ac:dyDescent="0.2">
      <c r="C1177" s="195">
        <v>44588</v>
      </c>
      <c r="D1177" s="55">
        <v>260</v>
      </c>
      <c r="E1177" s="55" t="s">
        <v>2373</v>
      </c>
      <c r="F1177" s="55" t="s">
        <v>192</v>
      </c>
      <c r="G1177" s="55" t="s">
        <v>401</v>
      </c>
      <c r="H1177" s="50" t="s">
        <v>2374</v>
      </c>
    </row>
    <row r="1178" spans="1:62" x14ac:dyDescent="0.2">
      <c r="C1178" s="195">
        <v>44565</v>
      </c>
      <c r="D1178" s="55">
        <v>260</v>
      </c>
      <c r="E1178" s="55" t="s">
        <v>2375</v>
      </c>
      <c r="F1178" s="55" t="s">
        <v>291</v>
      </c>
      <c r="G1178" s="55" t="s">
        <v>1247</v>
      </c>
      <c r="H1178" s="50" t="s">
        <v>2376</v>
      </c>
    </row>
    <row r="1179" spans="1:62" x14ac:dyDescent="0.2">
      <c r="C1179" s="195">
        <v>44565</v>
      </c>
      <c r="D1179" s="55">
        <v>260</v>
      </c>
      <c r="E1179" s="55" t="s">
        <v>2377</v>
      </c>
      <c r="F1179" s="55" t="s">
        <v>192</v>
      </c>
      <c r="G1179" s="55" t="s">
        <v>453</v>
      </c>
      <c r="H1179" s="50" t="s">
        <v>2378</v>
      </c>
    </row>
    <row r="1180" spans="1:62" x14ac:dyDescent="0.2">
      <c r="A1180" s="57">
        <v>122</v>
      </c>
      <c r="B1180" s="162" t="s">
        <v>836</v>
      </c>
      <c r="C1180" s="195">
        <v>44567</v>
      </c>
      <c r="D1180" s="55">
        <v>260</v>
      </c>
      <c r="E1180" s="55" t="s">
        <v>2379</v>
      </c>
      <c r="F1180" s="55" t="s">
        <v>390</v>
      </c>
      <c r="G1180" s="55" t="s">
        <v>922</v>
      </c>
      <c r="H1180" s="50" t="s">
        <v>224</v>
      </c>
      <c r="I1180" s="46" t="s">
        <v>839</v>
      </c>
      <c r="J1180" s="52">
        <v>1</v>
      </c>
      <c r="K1180" s="52">
        <v>1</v>
      </c>
      <c r="O1180" s="1">
        <v>1</v>
      </c>
      <c r="S1180" s="1">
        <v>1</v>
      </c>
      <c r="W1180" s="1">
        <v>1</v>
      </c>
      <c r="AA1180" s="1">
        <v>1</v>
      </c>
      <c r="AG1180">
        <v>1</v>
      </c>
      <c r="AM1180">
        <v>4</v>
      </c>
      <c r="AS1180">
        <v>4</v>
      </c>
      <c r="AT1180">
        <v>1</v>
      </c>
      <c r="AU1180">
        <v>1</v>
      </c>
      <c r="AZ1180">
        <v>1</v>
      </c>
      <c r="BA1180">
        <v>1</v>
      </c>
      <c r="BB1180">
        <v>1</v>
      </c>
      <c r="BC1180">
        <v>1</v>
      </c>
      <c r="BD1180">
        <v>1</v>
      </c>
      <c r="BE1180">
        <v>1</v>
      </c>
      <c r="BJ1180">
        <v>1</v>
      </c>
    </row>
    <row r="1181" spans="1:62" x14ac:dyDescent="0.2">
      <c r="C1181" s="195">
        <v>44565</v>
      </c>
      <c r="D1181" s="55">
        <v>260</v>
      </c>
      <c r="E1181" s="55" t="s">
        <v>2380</v>
      </c>
      <c r="F1181" s="55" t="s">
        <v>206</v>
      </c>
      <c r="G1181" s="55" t="s">
        <v>758</v>
      </c>
      <c r="H1181" s="50" t="s">
        <v>2381</v>
      </c>
    </row>
    <row r="1182" spans="1:62" x14ac:dyDescent="0.2">
      <c r="C1182" s="195">
        <v>44571</v>
      </c>
      <c r="D1182" s="55">
        <v>260</v>
      </c>
      <c r="E1182" s="55" t="s">
        <v>2382</v>
      </c>
      <c r="F1182" s="55" t="s">
        <v>267</v>
      </c>
      <c r="G1182" s="55" t="s">
        <v>442</v>
      </c>
      <c r="H1182" s="50" t="s">
        <v>2383</v>
      </c>
    </row>
    <row r="1183" spans="1:62" x14ac:dyDescent="0.2">
      <c r="C1183" s="195">
        <v>44568</v>
      </c>
      <c r="D1183" s="55">
        <v>280</v>
      </c>
      <c r="E1183" s="55" t="s">
        <v>2384</v>
      </c>
      <c r="F1183" s="55" t="s">
        <v>196</v>
      </c>
      <c r="G1183" s="55" t="s">
        <v>361</v>
      </c>
      <c r="H1183" s="50" t="s">
        <v>2385</v>
      </c>
    </row>
    <row r="1184" spans="1:62" x14ac:dyDescent="0.2">
      <c r="C1184" s="195">
        <v>44568</v>
      </c>
      <c r="D1184" s="55">
        <v>260</v>
      </c>
      <c r="E1184" s="55" t="s">
        <v>2386</v>
      </c>
      <c r="F1184" s="55" t="s">
        <v>390</v>
      </c>
      <c r="G1184" s="55" t="s">
        <v>922</v>
      </c>
      <c r="H1184" s="50" t="s">
        <v>2387</v>
      </c>
    </row>
    <row r="1185" spans="3:8" x14ac:dyDescent="0.2">
      <c r="C1185" s="195">
        <v>44592</v>
      </c>
      <c r="D1185" s="55">
        <v>280</v>
      </c>
      <c r="E1185" s="55" t="s">
        <v>2388</v>
      </c>
      <c r="F1185" s="55" t="s">
        <v>390</v>
      </c>
      <c r="G1185" s="55" t="s">
        <v>590</v>
      </c>
      <c r="H1185" s="50" t="s">
        <v>2389</v>
      </c>
    </row>
    <row r="1186" spans="3:8" x14ac:dyDescent="0.2">
      <c r="C1186" s="195">
        <v>44579</v>
      </c>
      <c r="D1186" s="55">
        <v>260</v>
      </c>
      <c r="E1186" s="55" t="s">
        <v>2390</v>
      </c>
      <c r="F1186" s="55" t="s">
        <v>231</v>
      </c>
      <c r="G1186" s="55" t="s">
        <v>387</v>
      </c>
      <c r="H1186" s="50" t="s">
        <v>2391</v>
      </c>
    </row>
    <row r="1187" spans="3:8" x14ac:dyDescent="0.2">
      <c r="C1187" s="195">
        <v>44568</v>
      </c>
      <c r="D1187" s="55">
        <v>260</v>
      </c>
      <c r="E1187" s="55" t="s">
        <v>2392</v>
      </c>
      <c r="F1187" s="55" t="s">
        <v>192</v>
      </c>
      <c r="G1187" s="55" t="s">
        <v>258</v>
      </c>
      <c r="H1187" s="50" t="s">
        <v>2393</v>
      </c>
    </row>
    <row r="1188" spans="3:8" x14ac:dyDescent="0.2">
      <c r="C1188" s="195">
        <v>44588</v>
      </c>
      <c r="D1188" s="55">
        <v>260</v>
      </c>
      <c r="E1188" s="55" t="s">
        <v>2394</v>
      </c>
      <c r="F1188" s="55" t="s">
        <v>231</v>
      </c>
      <c r="G1188" s="55" t="s">
        <v>255</v>
      </c>
      <c r="H1188" s="50" t="s">
        <v>2395</v>
      </c>
    </row>
    <row r="1189" spans="3:8" x14ac:dyDescent="0.2">
      <c r="C1189" s="195">
        <v>44588</v>
      </c>
      <c r="D1189" s="55">
        <v>260</v>
      </c>
      <c r="E1189" s="55" t="s">
        <v>2396</v>
      </c>
      <c r="F1189" s="55" t="s">
        <v>390</v>
      </c>
      <c r="G1189" s="55" t="s">
        <v>779</v>
      </c>
      <c r="H1189" s="50" t="s">
        <v>2397</v>
      </c>
    </row>
    <row r="1190" spans="3:8" x14ac:dyDescent="0.2">
      <c r="C1190" s="195">
        <v>44564</v>
      </c>
      <c r="D1190" s="55">
        <v>280</v>
      </c>
      <c r="E1190" s="55" t="s">
        <v>2398</v>
      </c>
      <c r="F1190" s="55" t="s">
        <v>263</v>
      </c>
      <c r="G1190" s="55" t="s">
        <v>806</v>
      </c>
      <c r="H1190" s="50" t="s">
        <v>2399</v>
      </c>
    </row>
    <row r="1191" spans="3:8" x14ac:dyDescent="0.2">
      <c r="C1191" s="195">
        <v>44567</v>
      </c>
      <c r="D1191" s="55">
        <v>280</v>
      </c>
      <c r="E1191" s="55" t="s">
        <v>2400</v>
      </c>
      <c r="F1191" s="55" t="s">
        <v>231</v>
      </c>
      <c r="G1191" s="55" t="s">
        <v>232</v>
      </c>
      <c r="H1191" s="50" t="s">
        <v>2401</v>
      </c>
    </row>
    <row r="1192" spans="3:8" x14ac:dyDescent="0.2">
      <c r="C1192" s="195">
        <v>44587</v>
      </c>
      <c r="D1192" s="55">
        <v>260</v>
      </c>
      <c r="E1192" s="55" t="s">
        <v>2402</v>
      </c>
      <c r="F1192" s="55" t="s">
        <v>231</v>
      </c>
      <c r="G1192" s="55" t="s">
        <v>371</v>
      </c>
      <c r="H1192" s="50" t="s">
        <v>2403</v>
      </c>
    </row>
    <row r="1193" spans="3:8" x14ac:dyDescent="0.2">
      <c r="C1193" s="195">
        <v>44572</v>
      </c>
      <c r="D1193" s="55">
        <v>280</v>
      </c>
      <c r="E1193" s="55" t="s">
        <v>2404</v>
      </c>
      <c r="F1193" s="55" t="s">
        <v>196</v>
      </c>
      <c r="G1193" s="55" t="s">
        <v>415</v>
      </c>
      <c r="H1193" s="50" t="s">
        <v>2405</v>
      </c>
    </row>
    <row r="1194" spans="3:8" x14ac:dyDescent="0.2">
      <c r="C1194" s="195">
        <v>44589</v>
      </c>
      <c r="D1194" s="55">
        <v>280</v>
      </c>
      <c r="E1194" s="55" t="s">
        <v>2406</v>
      </c>
      <c r="F1194" s="55" t="s">
        <v>263</v>
      </c>
      <c r="G1194" s="55" t="s">
        <v>613</v>
      </c>
      <c r="H1194" s="50" t="s">
        <v>2407</v>
      </c>
    </row>
    <row r="1195" spans="3:8" x14ac:dyDescent="0.2">
      <c r="C1195" s="195">
        <v>44592</v>
      </c>
      <c r="D1195" s="55">
        <v>280</v>
      </c>
      <c r="E1195" s="55" t="s">
        <v>2408</v>
      </c>
      <c r="F1195" s="55" t="s">
        <v>196</v>
      </c>
      <c r="G1195" s="55" t="s">
        <v>498</v>
      </c>
      <c r="H1195" s="50" t="s">
        <v>2409</v>
      </c>
    </row>
    <row r="1196" spans="3:8" x14ac:dyDescent="0.2">
      <c r="C1196" s="195">
        <v>44592</v>
      </c>
      <c r="D1196" s="55">
        <v>280</v>
      </c>
      <c r="E1196" s="55" t="s">
        <v>2410</v>
      </c>
      <c r="F1196" s="55" t="s">
        <v>219</v>
      </c>
      <c r="G1196" s="55" t="s">
        <v>540</v>
      </c>
      <c r="H1196" s="50" t="s">
        <v>2411</v>
      </c>
    </row>
    <row r="1197" spans="3:8" x14ac:dyDescent="0.2">
      <c r="C1197" s="195">
        <v>44592</v>
      </c>
      <c r="D1197" s="55">
        <v>280</v>
      </c>
      <c r="E1197" s="55" t="s">
        <v>2412</v>
      </c>
      <c r="F1197" s="55" t="s">
        <v>202</v>
      </c>
      <c r="G1197" s="55" t="s">
        <v>321</v>
      </c>
      <c r="H1197" s="50" t="s">
        <v>2413</v>
      </c>
    </row>
    <row r="1198" spans="3:8" x14ac:dyDescent="0.2">
      <c r="C1198" s="195">
        <v>44565</v>
      </c>
      <c r="D1198" s="55">
        <v>280</v>
      </c>
      <c r="E1198" s="55" t="s">
        <v>2414</v>
      </c>
      <c r="F1198" s="55" t="s">
        <v>231</v>
      </c>
      <c r="G1198" s="55" t="s">
        <v>371</v>
      </c>
      <c r="H1198" s="50" t="s">
        <v>2415</v>
      </c>
    </row>
    <row r="1199" spans="3:8" x14ac:dyDescent="0.2">
      <c r="C1199" s="195">
        <v>44586</v>
      </c>
      <c r="D1199" s="55">
        <v>260</v>
      </c>
      <c r="E1199" s="55" t="s">
        <v>2416</v>
      </c>
      <c r="F1199" s="55" t="s">
        <v>291</v>
      </c>
      <c r="G1199" s="55" t="s">
        <v>607</v>
      </c>
    </row>
    <row r="1200" spans="3:8" x14ac:dyDescent="0.2">
      <c r="C1200" s="195">
        <v>44575</v>
      </c>
      <c r="D1200" s="55">
        <v>280</v>
      </c>
      <c r="E1200" s="55" t="s">
        <v>2417</v>
      </c>
      <c r="F1200" s="55" t="s">
        <v>210</v>
      </c>
      <c r="G1200" s="55" t="s">
        <v>383</v>
      </c>
      <c r="H1200" s="50" t="s">
        <v>224</v>
      </c>
    </row>
    <row r="1201" spans="1:62" x14ac:dyDescent="0.2">
      <c r="C1201" s="195">
        <v>44568</v>
      </c>
      <c r="D1201" s="55">
        <v>260</v>
      </c>
      <c r="E1201" s="55" t="s">
        <v>2418</v>
      </c>
      <c r="F1201" s="55" t="s">
        <v>231</v>
      </c>
      <c r="G1201" s="55" t="s">
        <v>648</v>
      </c>
      <c r="H1201" s="50" t="s">
        <v>2419</v>
      </c>
    </row>
    <row r="1202" spans="1:62" x14ac:dyDescent="0.2">
      <c r="C1202" s="195">
        <v>44564</v>
      </c>
      <c r="D1202" s="55">
        <v>260</v>
      </c>
      <c r="E1202" s="55" t="s">
        <v>2420</v>
      </c>
      <c r="F1202" s="55" t="s">
        <v>210</v>
      </c>
      <c r="G1202" s="55" t="s">
        <v>418</v>
      </c>
      <c r="H1202" s="50" t="s">
        <v>2421</v>
      </c>
    </row>
    <row r="1203" spans="1:62" x14ac:dyDescent="0.2">
      <c r="A1203" s="57">
        <v>122</v>
      </c>
      <c r="B1203" s="162" t="s">
        <v>836</v>
      </c>
      <c r="C1203" s="195">
        <v>44573</v>
      </c>
      <c r="D1203" s="55">
        <v>260</v>
      </c>
      <c r="E1203" s="55" t="s">
        <v>2422</v>
      </c>
      <c r="F1203" s="55" t="s">
        <v>202</v>
      </c>
      <c r="G1203" s="55" t="s">
        <v>341</v>
      </c>
      <c r="H1203" s="50" t="s">
        <v>2423</v>
      </c>
      <c r="I1203" s="46" t="s">
        <v>839</v>
      </c>
      <c r="J1203" s="52">
        <v>1</v>
      </c>
      <c r="K1203" s="52">
        <v>1</v>
      </c>
      <c r="O1203" s="1">
        <v>1</v>
      </c>
      <c r="S1203" s="1">
        <v>1</v>
      </c>
      <c r="W1203" s="1">
        <v>1</v>
      </c>
      <c r="AA1203" s="1">
        <v>1</v>
      </c>
      <c r="AG1203">
        <v>1</v>
      </c>
      <c r="AM1203">
        <v>4</v>
      </c>
      <c r="AS1203">
        <v>4</v>
      </c>
      <c r="AT1203">
        <v>1</v>
      </c>
      <c r="AU1203">
        <v>1</v>
      </c>
      <c r="AZ1203">
        <v>1</v>
      </c>
      <c r="BA1203">
        <v>4</v>
      </c>
      <c r="BB1203">
        <v>4</v>
      </c>
      <c r="BC1203">
        <v>4</v>
      </c>
      <c r="BD1203">
        <v>4</v>
      </c>
      <c r="BE1203">
        <v>1</v>
      </c>
      <c r="BJ1203">
        <v>1</v>
      </c>
    </row>
    <row r="1204" spans="1:62" x14ac:dyDescent="0.2">
      <c r="A1204" s="57">
        <v>122</v>
      </c>
      <c r="B1204" t="s">
        <v>836</v>
      </c>
      <c r="C1204" s="195">
        <v>44580</v>
      </c>
      <c r="D1204" s="55">
        <v>280</v>
      </c>
      <c r="E1204" s="55" t="s">
        <v>2424</v>
      </c>
      <c r="F1204" s="55" t="s">
        <v>231</v>
      </c>
      <c r="G1204" s="55" t="s">
        <v>387</v>
      </c>
      <c r="H1204" s="50" t="s">
        <v>2425</v>
      </c>
      <c r="I1204" s="46" t="s">
        <v>837</v>
      </c>
    </row>
    <row r="1205" spans="1:62" x14ac:dyDescent="0.2">
      <c r="C1205" s="195">
        <v>44580</v>
      </c>
      <c r="D1205" s="55">
        <v>280</v>
      </c>
      <c r="E1205" s="55" t="s">
        <v>2426</v>
      </c>
      <c r="F1205" s="55" t="s">
        <v>231</v>
      </c>
      <c r="G1205" s="55" t="s">
        <v>387</v>
      </c>
      <c r="H1205" s="50" t="s">
        <v>2427</v>
      </c>
    </row>
    <row r="1206" spans="1:62" x14ac:dyDescent="0.2">
      <c r="C1206" s="195">
        <v>44588</v>
      </c>
      <c r="D1206" s="55">
        <v>260</v>
      </c>
      <c r="E1206" s="55" t="s">
        <v>2428</v>
      </c>
      <c r="F1206" s="55" t="s">
        <v>291</v>
      </c>
      <c r="G1206" s="55" t="s">
        <v>607</v>
      </c>
      <c r="H1206" s="50" t="s">
        <v>2429</v>
      </c>
    </row>
    <row r="1207" spans="1:62" x14ac:dyDescent="0.2">
      <c r="C1207" s="195">
        <v>44568</v>
      </c>
      <c r="D1207" s="55">
        <v>260</v>
      </c>
      <c r="E1207" s="55" t="s">
        <v>2430</v>
      </c>
      <c r="F1207" s="55" t="s">
        <v>192</v>
      </c>
      <c r="G1207" s="55" t="s">
        <v>563</v>
      </c>
      <c r="H1207" s="50" t="s">
        <v>224</v>
      </c>
    </row>
    <row r="1208" spans="1:62" x14ac:dyDescent="0.2">
      <c r="C1208" s="195">
        <v>44573</v>
      </c>
      <c r="D1208" s="55">
        <v>260</v>
      </c>
      <c r="E1208" s="55" t="s">
        <v>2431</v>
      </c>
      <c r="F1208" s="55" t="s">
        <v>231</v>
      </c>
      <c r="G1208" s="55" t="s">
        <v>387</v>
      </c>
      <c r="H1208" s="50" t="s">
        <v>2432</v>
      </c>
    </row>
    <row r="1209" spans="1:62" x14ac:dyDescent="0.2">
      <c r="C1209" s="195">
        <v>44592</v>
      </c>
      <c r="D1209" s="55">
        <v>280</v>
      </c>
      <c r="E1209" s="55" t="s">
        <v>2433</v>
      </c>
      <c r="F1209" s="55" t="s">
        <v>291</v>
      </c>
      <c r="G1209" s="55" t="s">
        <v>1247</v>
      </c>
      <c r="H1209" s="50" t="s">
        <v>2434</v>
      </c>
    </row>
    <row r="1210" spans="1:62" x14ac:dyDescent="0.2">
      <c r="C1210" s="195">
        <v>44592</v>
      </c>
      <c r="D1210" s="55">
        <v>260</v>
      </c>
      <c r="E1210" s="55" t="s">
        <v>2435</v>
      </c>
      <c r="F1210" s="55" t="s">
        <v>291</v>
      </c>
      <c r="G1210" s="55" t="s">
        <v>480</v>
      </c>
      <c r="H1210" s="50" t="s">
        <v>2436</v>
      </c>
    </row>
    <row r="1211" spans="1:62" x14ac:dyDescent="0.2">
      <c r="C1211" s="195">
        <v>44588</v>
      </c>
      <c r="D1211" s="55">
        <v>260</v>
      </c>
      <c r="E1211" s="55" t="s">
        <v>2437</v>
      </c>
      <c r="F1211" s="55" t="s">
        <v>231</v>
      </c>
      <c r="G1211" s="55" t="s">
        <v>255</v>
      </c>
      <c r="H1211" s="50" t="s">
        <v>2438</v>
      </c>
    </row>
    <row r="1212" spans="1:62" x14ac:dyDescent="0.2">
      <c r="C1212" s="195">
        <v>44568</v>
      </c>
      <c r="D1212" s="55">
        <v>260</v>
      </c>
      <c r="E1212" s="55" t="s">
        <v>2439</v>
      </c>
      <c r="F1212" s="55" t="s">
        <v>196</v>
      </c>
      <c r="G1212" s="55" t="s">
        <v>197</v>
      </c>
      <c r="H1212" s="50" t="s">
        <v>2440</v>
      </c>
    </row>
    <row r="1213" spans="1:62" x14ac:dyDescent="0.2">
      <c r="C1213" s="195">
        <v>44592</v>
      </c>
      <c r="D1213" s="55">
        <v>280</v>
      </c>
      <c r="E1213" s="55" t="s">
        <v>2441</v>
      </c>
      <c r="F1213" s="55" t="s">
        <v>219</v>
      </c>
      <c r="G1213" s="55" t="s">
        <v>540</v>
      </c>
      <c r="H1213" s="50" t="s">
        <v>2442</v>
      </c>
    </row>
    <row r="1214" spans="1:62" x14ac:dyDescent="0.2">
      <c r="C1214" s="195">
        <v>44566</v>
      </c>
      <c r="D1214" s="55">
        <v>280</v>
      </c>
      <c r="E1214" s="55" t="s">
        <v>2443</v>
      </c>
      <c r="F1214" s="55" t="s">
        <v>202</v>
      </c>
      <c r="G1214" s="55" t="s">
        <v>203</v>
      </c>
      <c r="H1214" s="50" t="s">
        <v>2444</v>
      </c>
    </row>
    <row r="1215" spans="1:62" x14ac:dyDescent="0.2">
      <c r="C1215" s="195">
        <v>44575</v>
      </c>
      <c r="D1215" s="55">
        <v>280</v>
      </c>
      <c r="E1215" s="55" t="s">
        <v>2445</v>
      </c>
      <c r="F1215" s="55" t="s">
        <v>244</v>
      </c>
      <c r="G1215" s="55" t="s">
        <v>767</v>
      </c>
      <c r="H1215" s="50" t="s">
        <v>2446</v>
      </c>
    </row>
    <row r="1216" spans="1:62" x14ac:dyDescent="0.2">
      <c r="C1216" s="195">
        <v>44589</v>
      </c>
      <c r="D1216" s="55">
        <v>260</v>
      </c>
      <c r="E1216" s="55" t="s">
        <v>2447</v>
      </c>
      <c r="F1216" s="55" t="s">
        <v>390</v>
      </c>
      <c r="G1216" s="55" t="s">
        <v>922</v>
      </c>
      <c r="H1216" s="50" t="s">
        <v>2448</v>
      </c>
    </row>
    <row r="1217" spans="3:8" x14ac:dyDescent="0.2">
      <c r="C1217" s="195">
        <v>44592</v>
      </c>
      <c r="D1217" s="55">
        <v>280</v>
      </c>
      <c r="E1217" s="55" t="s">
        <v>2449</v>
      </c>
      <c r="F1217" s="55" t="s">
        <v>206</v>
      </c>
      <c r="G1217" s="55" t="s">
        <v>548</v>
      </c>
      <c r="H1217" s="50" t="s">
        <v>2450</v>
      </c>
    </row>
    <row r="1218" spans="3:8" x14ac:dyDescent="0.2">
      <c r="C1218" s="195">
        <v>44579</v>
      </c>
      <c r="D1218" s="55">
        <v>260</v>
      </c>
      <c r="E1218" s="55" t="s">
        <v>2451</v>
      </c>
      <c r="F1218" s="55" t="s">
        <v>231</v>
      </c>
      <c r="G1218" s="55" t="s">
        <v>387</v>
      </c>
      <c r="H1218" s="50" t="s">
        <v>2452</v>
      </c>
    </row>
    <row r="1219" spans="3:8" x14ac:dyDescent="0.2">
      <c r="C1219" s="195">
        <v>44607</v>
      </c>
      <c r="D1219" s="55">
        <v>260</v>
      </c>
      <c r="E1219" s="55" t="s">
        <v>2453</v>
      </c>
      <c r="F1219" s="55" t="s">
        <v>192</v>
      </c>
      <c r="G1219" s="55" t="s">
        <v>487</v>
      </c>
      <c r="H1219" s="50" t="s">
        <v>224</v>
      </c>
    </row>
    <row r="1220" spans="3:8" x14ac:dyDescent="0.2">
      <c r="C1220" s="195">
        <v>44617</v>
      </c>
      <c r="D1220" s="55">
        <v>280</v>
      </c>
      <c r="E1220" s="55" t="s">
        <v>2454</v>
      </c>
      <c r="F1220" s="55" t="s">
        <v>263</v>
      </c>
      <c r="G1220" s="55" t="s">
        <v>995</v>
      </c>
      <c r="H1220" s="50" t="s">
        <v>2455</v>
      </c>
    </row>
    <row r="1221" spans="3:8" x14ac:dyDescent="0.2">
      <c r="C1221" s="195">
        <v>44609</v>
      </c>
      <c r="D1221" s="55">
        <v>260</v>
      </c>
      <c r="E1221" s="55" t="s">
        <v>2456</v>
      </c>
      <c r="F1221" s="55" t="s">
        <v>202</v>
      </c>
      <c r="G1221" s="55" t="s">
        <v>276</v>
      </c>
      <c r="H1221" s="50" t="s">
        <v>2457</v>
      </c>
    </row>
    <row r="1222" spans="3:8" x14ac:dyDescent="0.2">
      <c r="C1222" s="195">
        <v>44593</v>
      </c>
      <c r="D1222" s="55">
        <v>280</v>
      </c>
      <c r="E1222" s="55" t="s">
        <v>2458</v>
      </c>
      <c r="F1222" s="55" t="s">
        <v>231</v>
      </c>
      <c r="G1222" s="55" t="s">
        <v>782</v>
      </c>
      <c r="H1222" s="50" t="s">
        <v>2459</v>
      </c>
    </row>
    <row r="1223" spans="3:8" x14ac:dyDescent="0.2">
      <c r="C1223" s="195">
        <v>44601</v>
      </c>
      <c r="D1223" s="55">
        <v>260</v>
      </c>
      <c r="E1223" s="55" t="s">
        <v>2460</v>
      </c>
      <c r="F1223" s="55" t="s">
        <v>196</v>
      </c>
      <c r="G1223" s="55" t="s">
        <v>352</v>
      </c>
      <c r="H1223" s="50" t="s">
        <v>2461</v>
      </c>
    </row>
    <row r="1224" spans="3:8" x14ac:dyDescent="0.2">
      <c r="C1224" s="195">
        <v>44617</v>
      </c>
      <c r="D1224" s="55">
        <v>280</v>
      </c>
      <c r="E1224" s="55" t="s">
        <v>2462</v>
      </c>
      <c r="F1224" s="55" t="s">
        <v>390</v>
      </c>
      <c r="G1224" s="55" t="s">
        <v>922</v>
      </c>
      <c r="H1224" s="50" t="s">
        <v>2463</v>
      </c>
    </row>
    <row r="1225" spans="3:8" x14ac:dyDescent="0.2">
      <c r="C1225" s="195">
        <v>44594</v>
      </c>
      <c r="D1225" s="55">
        <v>260</v>
      </c>
      <c r="E1225" s="55" t="s">
        <v>2464</v>
      </c>
      <c r="F1225" s="55" t="s">
        <v>267</v>
      </c>
      <c r="G1225" s="55" t="s">
        <v>813</v>
      </c>
      <c r="H1225" s="50" t="s">
        <v>2465</v>
      </c>
    </row>
    <row r="1226" spans="3:8" x14ac:dyDescent="0.2">
      <c r="C1226" s="195">
        <v>44620</v>
      </c>
      <c r="D1226" s="55">
        <v>280</v>
      </c>
      <c r="E1226" s="55" t="s">
        <v>2466</v>
      </c>
      <c r="F1226" s="55" t="s">
        <v>231</v>
      </c>
      <c r="G1226" s="55" t="s">
        <v>435</v>
      </c>
      <c r="H1226" s="50" t="s">
        <v>2467</v>
      </c>
    </row>
    <row r="1227" spans="3:8" x14ac:dyDescent="0.2">
      <c r="C1227" s="195">
        <v>44601</v>
      </c>
      <c r="D1227" s="55">
        <v>280</v>
      </c>
      <c r="E1227" s="55" t="s">
        <v>2468</v>
      </c>
      <c r="F1227" s="55" t="s">
        <v>263</v>
      </c>
      <c r="G1227" s="55" t="s">
        <v>705</v>
      </c>
      <c r="H1227" s="50" t="s">
        <v>2469</v>
      </c>
    </row>
    <row r="1228" spans="3:8" x14ac:dyDescent="0.2">
      <c r="C1228" s="195">
        <v>44609</v>
      </c>
      <c r="D1228" s="55">
        <v>260</v>
      </c>
      <c r="E1228" s="55" t="s">
        <v>2470</v>
      </c>
      <c r="F1228" s="55" t="s">
        <v>202</v>
      </c>
      <c r="G1228" s="55" t="s">
        <v>276</v>
      </c>
      <c r="H1228" s="50" t="s">
        <v>2471</v>
      </c>
    </row>
    <row r="1229" spans="3:8" x14ac:dyDescent="0.2">
      <c r="C1229" s="195">
        <v>44599</v>
      </c>
      <c r="D1229" s="55">
        <v>260</v>
      </c>
      <c r="E1229" s="55" t="s">
        <v>2472</v>
      </c>
      <c r="F1229" s="55" t="s">
        <v>196</v>
      </c>
      <c r="G1229" s="55" t="s">
        <v>361</v>
      </c>
      <c r="H1229" s="50" t="s">
        <v>2473</v>
      </c>
    </row>
    <row r="1230" spans="3:8" x14ac:dyDescent="0.2">
      <c r="C1230" s="195">
        <v>44603</v>
      </c>
      <c r="D1230" s="55">
        <v>280</v>
      </c>
      <c r="E1230" s="55" t="s">
        <v>2474</v>
      </c>
      <c r="F1230" s="55" t="s">
        <v>231</v>
      </c>
      <c r="G1230" s="55" t="s">
        <v>232</v>
      </c>
      <c r="H1230" s="50" t="s">
        <v>2475</v>
      </c>
    </row>
    <row r="1231" spans="3:8" x14ac:dyDescent="0.2">
      <c r="C1231" s="195">
        <v>44599</v>
      </c>
      <c r="D1231" s="55">
        <v>260</v>
      </c>
      <c r="E1231" s="55" t="s">
        <v>2476</v>
      </c>
      <c r="F1231" s="55" t="s">
        <v>196</v>
      </c>
      <c r="G1231" s="55" t="s">
        <v>361</v>
      </c>
    </row>
    <row r="1232" spans="3:8" x14ac:dyDescent="0.2">
      <c r="C1232" s="195">
        <v>44607</v>
      </c>
      <c r="D1232" s="55">
        <v>280</v>
      </c>
      <c r="E1232" s="55" t="s">
        <v>2477</v>
      </c>
      <c r="F1232" s="55" t="s">
        <v>206</v>
      </c>
      <c r="G1232" s="55" t="s">
        <v>207</v>
      </c>
      <c r="H1232" s="50" t="s">
        <v>2478</v>
      </c>
    </row>
    <row r="1233" spans="1:9" x14ac:dyDescent="0.2">
      <c r="C1233" s="195">
        <v>44601</v>
      </c>
      <c r="D1233" s="55">
        <v>260</v>
      </c>
      <c r="E1233" s="55" t="s">
        <v>2479</v>
      </c>
      <c r="F1233" s="55" t="s">
        <v>196</v>
      </c>
      <c r="G1233" s="55" t="s">
        <v>352</v>
      </c>
      <c r="H1233" s="50" t="s">
        <v>2480</v>
      </c>
    </row>
    <row r="1234" spans="1:9" x14ac:dyDescent="0.2">
      <c r="C1234" s="195">
        <v>44596</v>
      </c>
      <c r="D1234" s="55">
        <v>280</v>
      </c>
      <c r="E1234" s="55" t="s">
        <v>2481</v>
      </c>
      <c r="F1234" s="55" t="s">
        <v>272</v>
      </c>
      <c r="G1234" s="55" t="s">
        <v>683</v>
      </c>
      <c r="H1234" s="50" t="s">
        <v>2482</v>
      </c>
    </row>
    <row r="1235" spans="1:9" x14ac:dyDescent="0.2">
      <c r="C1235" s="195">
        <v>44606</v>
      </c>
      <c r="D1235" s="55">
        <v>260</v>
      </c>
      <c r="E1235" s="55" t="s">
        <v>2483</v>
      </c>
      <c r="F1235" s="55" t="s">
        <v>192</v>
      </c>
      <c r="G1235" s="55" t="s">
        <v>258</v>
      </c>
      <c r="H1235" s="50" t="s">
        <v>2484</v>
      </c>
    </row>
    <row r="1236" spans="1:9" x14ac:dyDescent="0.2">
      <c r="C1236" s="195">
        <v>44620</v>
      </c>
      <c r="D1236" s="55">
        <v>260</v>
      </c>
      <c r="E1236" s="55" t="s">
        <v>2485</v>
      </c>
      <c r="F1236" s="55" t="s">
        <v>244</v>
      </c>
      <c r="G1236" s="55" t="s">
        <v>1468</v>
      </c>
      <c r="H1236" s="50" t="s">
        <v>2486</v>
      </c>
    </row>
    <row r="1237" spans="1:9" x14ac:dyDescent="0.2">
      <c r="C1237" s="195">
        <v>44595</v>
      </c>
      <c r="D1237" s="55">
        <v>260</v>
      </c>
      <c r="E1237" s="55" t="s">
        <v>2487</v>
      </c>
      <c r="F1237" s="55" t="s">
        <v>202</v>
      </c>
      <c r="G1237" s="55" t="s">
        <v>1146</v>
      </c>
      <c r="H1237" s="50" t="s">
        <v>2488</v>
      </c>
    </row>
    <row r="1238" spans="1:9" x14ac:dyDescent="0.2">
      <c r="C1238" s="195">
        <v>44601</v>
      </c>
      <c r="D1238" s="55">
        <v>260</v>
      </c>
      <c r="E1238" s="55" t="s">
        <v>2489</v>
      </c>
      <c r="F1238" s="55" t="s">
        <v>267</v>
      </c>
      <c r="G1238" s="55" t="s">
        <v>813</v>
      </c>
    </row>
    <row r="1239" spans="1:9" x14ac:dyDescent="0.2">
      <c r="C1239" s="195">
        <v>44601</v>
      </c>
      <c r="D1239" s="55">
        <v>260</v>
      </c>
      <c r="E1239" s="55" t="s">
        <v>2490</v>
      </c>
      <c r="F1239" s="55" t="s">
        <v>267</v>
      </c>
      <c r="G1239" s="55" t="s">
        <v>813</v>
      </c>
      <c r="H1239" s="50" t="s">
        <v>2491</v>
      </c>
    </row>
    <row r="1240" spans="1:9" x14ac:dyDescent="0.2">
      <c r="A1240" s="57">
        <v>222</v>
      </c>
      <c r="B1240" t="s">
        <v>836</v>
      </c>
      <c r="C1240" s="195">
        <v>44614</v>
      </c>
      <c r="D1240" s="55">
        <v>280</v>
      </c>
      <c r="E1240" s="55" t="s">
        <v>2492</v>
      </c>
      <c r="F1240" s="55" t="s">
        <v>231</v>
      </c>
      <c r="G1240" s="55" t="s">
        <v>2088</v>
      </c>
      <c r="I1240" s="46" t="s">
        <v>837</v>
      </c>
    </row>
    <row r="1241" spans="1:9" x14ac:dyDescent="0.2">
      <c r="C1241" s="195">
        <v>44608</v>
      </c>
      <c r="D1241" s="55">
        <v>280</v>
      </c>
      <c r="E1241" s="55" t="s">
        <v>2493</v>
      </c>
      <c r="F1241" s="55" t="s">
        <v>244</v>
      </c>
      <c r="G1241" s="55" t="s">
        <v>393</v>
      </c>
      <c r="H1241" s="50" t="s">
        <v>2494</v>
      </c>
    </row>
    <row r="1242" spans="1:9" x14ac:dyDescent="0.2">
      <c r="C1242" s="195">
        <v>44596</v>
      </c>
      <c r="D1242" s="55">
        <v>280</v>
      </c>
      <c r="E1242" s="55" t="s">
        <v>2495</v>
      </c>
      <c r="F1242" s="55" t="s">
        <v>196</v>
      </c>
      <c r="G1242" s="55" t="s">
        <v>415</v>
      </c>
      <c r="H1242" s="50" t="s">
        <v>224</v>
      </c>
    </row>
    <row r="1243" spans="1:9" x14ac:dyDescent="0.2">
      <c r="C1243" s="195">
        <v>44601</v>
      </c>
      <c r="D1243" s="55">
        <v>260</v>
      </c>
      <c r="E1243" s="55" t="s">
        <v>2496</v>
      </c>
      <c r="F1243" s="55" t="s">
        <v>219</v>
      </c>
      <c r="G1243" s="55" t="s">
        <v>223</v>
      </c>
      <c r="H1243" s="50" t="s">
        <v>2497</v>
      </c>
    </row>
    <row r="1244" spans="1:9" x14ac:dyDescent="0.2">
      <c r="C1244" s="195">
        <v>44600</v>
      </c>
      <c r="D1244" s="55">
        <v>260</v>
      </c>
      <c r="E1244" s="55" t="s">
        <v>2498</v>
      </c>
      <c r="F1244" s="55" t="s">
        <v>272</v>
      </c>
      <c r="G1244" s="55" t="s">
        <v>1914</v>
      </c>
    </row>
    <row r="1245" spans="1:9" x14ac:dyDescent="0.2">
      <c r="C1245" s="195">
        <v>44615</v>
      </c>
      <c r="D1245" s="55">
        <v>260</v>
      </c>
      <c r="E1245" s="55" t="s">
        <v>2499</v>
      </c>
      <c r="F1245" s="55" t="s">
        <v>263</v>
      </c>
      <c r="G1245" s="55" t="s">
        <v>506</v>
      </c>
      <c r="H1245" s="50" t="s">
        <v>2500</v>
      </c>
    </row>
    <row r="1246" spans="1:9" x14ac:dyDescent="0.2">
      <c r="C1246" s="195">
        <v>44599</v>
      </c>
      <c r="D1246" s="55">
        <v>260</v>
      </c>
      <c r="E1246" s="55" t="s">
        <v>2501</v>
      </c>
      <c r="F1246" s="55" t="s">
        <v>267</v>
      </c>
      <c r="G1246" s="55" t="s">
        <v>357</v>
      </c>
      <c r="H1246" s="50" t="s">
        <v>2502</v>
      </c>
    </row>
    <row r="1247" spans="1:9" x14ac:dyDescent="0.2">
      <c r="C1247" s="195">
        <v>44609</v>
      </c>
      <c r="D1247" s="55">
        <v>280</v>
      </c>
      <c r="E1247" s="55" t="s">
        <v>2503</v>
      </c>
      <c r="F1247" s="55" t="s">
        <v>390</v>
      </c>
      <c r="G1247" s="55" t="s">
        <v>590</v>
      </c>
      <c r="H1247" s="50" t="s">
        <v>224</v>
      </c>
    </row>
    <row r="1248" spans="1:9" x14ac:dyDescent="0.2">
      <c r="C1248" s="195">
        <v>44613</v>
      </c>
      <c r="D1248" s="55">
        <v>260</v>
      </c>
      <c r="E1248" s="55" t="s">
        <v>2504</v>
      </c>
      <c r="F1248" s="55" t="s">
        <v>390</v>
      </c>
      <c r="G1248" s="55" t="s">
        <v>391</v>
      </c>
      <c r="H1248" s="50" t="s">
        <v>2505</v>
      </c>
    </row>
    <row r="1249" spans="3:8" x14ac:dyDescent="0.2">
      <c r="C1249" s="195">
        <v>44600</v>
      </c>
      <c r="D1249" s="55">
        <v>280</v>
      </c>
      <c r="E1249" s="55" t="s">
        <v>2506</v>
      </c>
      <c r="F1249" s="55" t="s">
        <v>263</v>
      </c>
      <c r="G1249" s="55" t="s">
        <v>633</v>
      </c>
      <c r="H1249" s="50" t="s">
        <v>2507</v>
      </c>
    </row>
    <row r="1250" spans="3:8" x14ac:dyDescent="0.2">
      <c r="C1250" s="195">
        <v>44594</v>
      </c>
      <c r="D1250" s="55">
        <v>280</v>
      </c>
      <c r="E1250" s="55" t="s">
        <v>2508</v>
      </c>
      <c r="F1250" s="55" t="s">
        <v>231</v>
      </c>
      <c r="G1250" s="55" t="s">
        <v>782</v>
      </c>
      <c r="H1250" s="50" t="s">
        <v>2509</v>
      </c>
    </row>
    <row r="1251" spans="3:8" x14ac:dyDescent="0.2">
      <c r="C1251" s="195">
        <v>44617</v>
      </c>
      <c r="D1251" s="55">
        <v>260</v>
      </c>
      <c r="E1251" s="55" t="s">
        <v>2510</v>
      </c>
      <c r="F1251" s="55" t="s">
        <v>196</v>
      </c>
      <c r="G1251" s="55" t="s">
        <v>349</v>
      </c>
    </row>
    <row r="1252" spans="3:8" x14ac:dyDescent="0.2">
      <c r="C1252" s="195">
        <v>44600</v>
      </c>
      <c r="D1252" s="55">
        <v>280</v>
      </c>
      <c r="E1252" s="55" t="s">
        <v>2511</v>
      </c>
      <c r="F1252" s="55" t="s">
        <v>231</v>
      </c>
      <c r="G1252" s="55" t="s">
        <v>648</v>
      </c>
      <c r="H1252" s="50" t="s">
        <v>2512</v>
      </c>
    </row>
    <row r="1253" spans="3:8" x14ac:dyDescent="0.2">
      <c r="C1253" s="195">
        <v>44613</v>
      </c>
      <c r="D1253" s="55">
        <v>260</v>
      </c>
      <c r="E1253" s="55" t="s">
        <v>2513</v>
      </c>
      <c r="F1253" s="55" t="s">
        <v>272</v>
      </c>
      <c r="G1253" s="55" t="s">
        <v>1914</v>
      </c>
      <c r="H1253" s="50" t="s">
        <v>224</v>
      </c>
    </row>
    <row r="1254" spans="3:8" x14ac:dyDescent="0.2">
      <c r="C1254" s="195">
        <v>44615</v>
      </c>
      <c r="D1254" s="55">
        <v>280</v>
      </c>
      <c r="E1254" s="55" t="s">
        <v>2514</v>
      </c>
      <c r="F1254" s="55" t="s">
        <v>231</v>
      </c>
      <c r="G1254" s="55" t="s">
        <v>1098</v>
      </c>
      <c r="H1254" s="50" t="s">
        <v>2515</v>
      </c>
    </row>
    <row r="1255" spans="3:8" x14ac:dyDescent="0.2">
      <c r="C1255" s="195">
        <v>44608</v>
      </c>
      <c r="D1255" s="55">
        <v>260</v>
      </c>
      <c r="E1255" s="55" t="s">
        <v>2516</v>
      </c>
      <c r="F1255" s="55" t="s">
        <v>267</v>
      </c>
      <c r="G1255" s="55" t="s">
        <v>331</v>
      </c>
      <c r="H1255" s="50" t="s">
        <v>224</v>
      </c>
    </row>
    <row r="1256" spans="3:8" x14ac:dyDescent="0.2">
      <c r="C1256" s="195">
        <v>44613</v>
      </c>
      <c r="D1256" s="55">
        <v>260</v>
      </c>
      <c r="E1256" s="55" t="s">
        <v>2517</v>
      </c>
      <c r="F1256" s="55" t="s">
        <v>210</v>
      </c>
      <c r="G1256" s="55" t="s">
        <v>883</v>
      </c>
      <c r="H1256" s="50" t="s">
        <v>2518</v>
      </c>
    </row>
    <row r="1257" spans="3:8" x14ac:dyDescent="0.2">
      <c r="C1257" s="195">
        <v>44615</v>
      </c>
      <c r="D1257" s="55">
        <v>280</v>
      </c>
      <c r="E1257" s="55" t="s">
        <v>2519</v>
      </c>
      <c r="F1257" s="55" t="s">
        <v>206</v>
      </c>
      <c r="G1257" s="55" t="s">
        <v>676</v>
      </c>
      <c r="H1257" s="50" t="s">
        <v>2520</v>
      </c>
    </row>
    <row r="1258" spans="3:8" x14ac:dyDescent="0.2">
      <c r="C1258" s="195">
        <v>44613</v>
      </c>
      <c r="D1258" s="55">
        <v>260</v>
      </c>
      <c r="E1258" s="55" t="s">
        <v>2521</v>
      </c>
      <c r="F1258" s="55" t="s">
        <v>202</v>
      </c>
      <c r="G1258" s="55" t="s">
        <v>341</v>
      </c>
      <c r="H1258" s="50" t="s">
        <v>2522</v>
      </c>
    </row>
    <row r="1259" spans="3:8" x14ac:dyDescent="0.2">
      <c r="C1259" s="195">
        <v>44599</v>
      </c>
      <c r="D1259" s="55">
        <v>280</v>
      </c>
      <c r="E1259" s="55" t="s">
        <v>2523</v>
      </c>
      <c r="F1259" s="55" t="s">
        <v>390</v>
      </c>
      <c r="G1259" s="55" t="s">
        <v>391</v>
      </c>
      <c r="H1259" s="50" t="s">
        <v>2524</v>
      </c>
    </row>
    <row r="1260" spans="3:8" x14ac:dyDescent="0.2">
      <c r="C1260" s="195">
        <v>44615</v>
      </c>
      <c r="D1260" s="55">
        <v>260</v>
      </c>
      <c r="E1260" s="55" t="s">
        <v>2525</v>
      </c>
      <c r="F1260" s="55" t="s">
        <v>263</v>
      </c>
      <c r="G1260" s="55" t="s">
        <v>506</v>
      </c>
      <c r="H1260" s="50" t="s">
        <v>2526</v>
      </c>
    </row>
    <row r="1261" spans="3:8" x14ac:dyDescent="0.2">
      <c r="C1261" s="195">
        <v>44620</v>
      </c>
      <c r="D1261" s="55">
        <v>260</v>
      </c>
      <c r="E1261" s="55" t="s">
        <v>2527</v>
      </c>
      <c r="F1261" s="55" t="s">
        <v>291</v>
      </c>
      <c r="G1261" s="55" t="s">
        <v>819</v>
      </c>
      <c r="H1261" s="50" t="s">
        <v>2528</v>
      </c>
    </row>
    <row r="1262" spans="3:8" x14ac:dyDescent="0.2">
      <c r="C1262" s="195">
        <v>44601</v>
      </c>
      <c r="D1262" s="55">
        <v>280</v>
      </c>
      <c r="E1262" s="55" t="s">
        <v>2529</v>
      </c>
      <c r="F1262" s="55" t="s">
        <v>202</v>
      </c>
      <c r="G1262" s="55" t="s">
        <v>341</v>
      </c>
      <c r="H1262" s="50" t="s">
        <v>2530</v>
      </c>
    </row>
    <row r="1263" spans="3:8" x14ac:dyDescent="0.2">
      <c r="C1263" s="195">
        <v>44603</v>
      </c>
      <c r="D1263" s="55">
        <v>280</v>
      </c>
      <c r="E1263" s="55" t="s">
        <v>2531</v>
      </c>
      <c r="F1263" s="55" t="s">
        <v>202</v>
      </c>
      <c r="G1263" s="55" t="s">
        <v>302</v>
      </c>
      <c r="H1263" s="50" t="s">
        <v>2532</v>
      </c>
    </row>
    <row r="1264" spans="3:8" x14ac:dyDescent="0.2">
      <c r="C1264" s="195">
        <v>44595</v>
      </c>
      <c r="D1264" s="55">
        <v>260</v>
      </c>
      <c r="E1264" s="55" t="s">
        <v>2533</v>
      </c>
      <c r="F1264" s="55" t="s">
        <v>202</v>
      </c>
      <c r="G1264" s="55" t="s">
        <v>203</v>
      </c>
      <c r="H1264" s="50" t="s">
        <v>2534</v>
      </c>
    </row>
    <row r="1265" spans="3:8" x14ac:dyDescent="0.2">
      <c r="C1265" s="195">
        <v>44596</v>
      </c>
      <c r="D1265" s="55">
        <v>280</v>
      </c>
      <c r="E1265" s="55" t="s">
        <v>2535</v>
      </c>
      <c r="F1265" s="55" t="s">
        <v>231</v>
      </c>
      <c r="G1265" s="55" t="s">
        <v>1098</v>
      </c>
    </row>
    <row r="1266" spans="3:8" x14ac:dyDescent="0.2">
      <c r="C1266" s="195">
        <v>44620</v>
      </c>
      <c r="D1266" s="55">
        <v>280</v>
      </c>
      <c r="E1266" s="55" t="s">
        <v>2536</v>
      </c>
      <c r="F1266" s="55" t="s">
        <v>206</v>
      </c>
      <c r="G1266" s="55" t="s">
        <v>568</v>
      </c>
    </row>
    <row r="1267" spans="3:8" x14ac:dyDescent="0.2">
      <c r="C1267" s="195">
        <v>44609</v>
      </c>
      <c r="D1267" s="55">
        <v>280</v>
      </c>
      <c r="E1267" s="55" t="s">
        <v>2537</v>
      </c>
      <c r="F1267" s="55" t="s">
        <v>231</v>
      </c>
      <c r="G1267" s="55" t="s">
        <v>1098</v>
      </c>
    </row>
    <row r="1268" spans="3:8" x14ac:dyDescent="0.2">
      <c r="C1268" s="195">
        <v>44617</v>
      </c>
      <c r="D1268" s="55">
        <v>280</v>
      </c>
      <c r="E1268" s="55" t="s">
        <v>2538</v>
      </c>
      <c r="F1268" s="55" t="s">
        <v>196</v>
      </c>
      <c r="G1268" s="55" t="s">
        <v>349</v>
      </c>
      <c r="H1268" s="50" t="s">
        <v>2539</v>
      </c>
    </row>
    <row r="1269" spans="3:8" x14ac:dyDescent="0.2">
      <c r="C1269" s="195">
        <v>44600</v>
      </c>
      <c r="D1269" s="55">
        <v>260</v>
      </c>
      <c r="E1269" s="55" t="s">
        <v>2540</v>
      </c>
      <c r="F1269" s="55" t="s">
        <v>272</v>
      </c>
      <c r="G1269" s="55" t="s">
        <v>1914</v>
      </c>
      <c r="H1269" s="50" t="s">
        <v>2541</v>
      </c>
    </row>
    <row r="1270" spans="3:8" x14ac:dyDescent="0.2">
      <c r="C1270" s="195">
        <v>44596</v>
      </c>
      <c r="D1270" s="55">
        <v>260</v>
      </c>
      <c r="E1270" s="55" t="s">
        <v>2542</v>
      </c>
      <c r="F1270" s="55" t="s">
        <v>272</v>
      </c>
      <c r="G1270" s="55" t="s">
        <v>683</v>
      </c>
      <c r="H1270" s="50" t="s">
        <v>2543</v>
      </c>
    </row>
    <row r="1271" spans="3:8" x14ac:dyDescent="0.2">
      <c r="C1271" s="195">
        <v>44599</v>
      </c>
      <c r="D1271" s="55">
        <v>280</v>
      </c>
      <c r="E1271" s="55" t="s">
        <v>2544</v>
      </c>
      <c r="F1271" s="55" t="s">
        <v>192</v>
      </c>
      <c r="G1271" s="55" t="s">
        <v>640</v>
      </c>
      <c r="H1271" s="50" t="s">
        <v>2545</v>
      </c>
    </row>
    <row r="1272" spans="3:8" x14ac:dyDescent="0.2">
      <c r="C1272" s="195">
        <v>44620</v>
      </c>
      <c r="D1272" s="55">
        <v>260</v>
      </c>
      <c r="E1272" s="55" t="s">
        <v>2546</v>
      </c>
      <c r="F1272" s="55" t="s">
        <v>291</v>
      </c>
      <c r="G1272" s="55" t="s">
        <v>1215</v>
      </c>
      <c r="H1272" s="50" t="s">
        <v>2547</v>
      </c>
    </row>
    <row r="1273" spans="3:8" x14ac:dyDescent="0.2">
      <c r="C1273" s="195">
        <v>44613</v>
      </c>
      <c r="D1273" s="55">
        <v>260</v>
      </c>
      <c r="E1273" s="55" t="s">
        <v>2548</v>
      </c>
      <c r="F1273" s="55" t="s">
        <v>231</v>
      </c>
      <c r="G1273" s="55" t="s">
        <v>232</v>
      </c>
      <c r="H1273" s="50" t="s">
        <v>2549</v>
      </c>
    </row>
    <row r="1274" spans="3:8" x14ac:dyDescent="0.2">
      <c r="C1274" s="195">
        <v>44610</v>
      </c>
      <c r="D1274" s="55">
        <v>260</v>
      </c>
      <c r="E1274" s="55" t="s">
        <v>2550</v>
      </c>
      <c r="F1274" s="55" t="s">
        <v>210</v>
      </c>
      <c r="G1274" s="55" t="s">
        <v>306</v>
      </c>
      <c r="H1274" s="50" t="s">
        <v>224</v>
      </c>
    </row>
    <row r="1275" spans="3:8" x14ac:dyDescent="0.2">
      <c r="C1275" s="195">
        <v>44602</v>
      </c>
      <c r="D1275" s="55">
        <v>280</v>
      </c>
      <c r="E1275" s="55" t="s">
        <v>2551</v>
      </c>
      <c r="F1275" s="55" t="s">
        <v>231</v>
      </c>
      <c r="G1275" s="55" t="s">
        <v>782</v>
      </c>
      <c r="H1275" s="50" t="s">
        <v>2552</v>
      </c>
    </row>
    <row r="1276" spans="3:8" x14ac:dyDescent="0.2">
      <c r="C1276" s="195">
        <v>44601</v>
      </c>
      <c r="D1276" s="55">
        <v>260</v>
      </c>
      <c r="E1276" s="55" t="s">
        <v>2553</v>
      </c>
      <c r="F1276" s="55" t="s">
        <v>219</v>
      </c>
      <c r="G1276" s="55" t="s">
        <v>540</v>
      </c>
      <c r="H1276" s="50" t="s">
        <v>224</v>
      </c>
    </row>
    <row r="1277" spans="3:8" x14ac:dyDescent="0.2">
      <c r="C1277" s="195">
        <v>44620</v>
      </c>
      <c r="D1277" s="55">
        <v>280</v>
      </c>
      <c r="E1277" s="55" t="s">
        <v>2554</v>
      </c>
      <c r="F1277" s="55" t="s">
        <v>231</v>
      </c>
      <c r="G1277" s="55" t="s">
        <v>2088</v>
      </c>
      <c r="H1277" s="50" t="s">
        <v>224</v>
      </c>
    </row>
    <row r="1278" spans="3:8" x14ac:dyDescent="0.2">
      <c r="C1278" s="195">
        <v>44617</v>
      </c>
      <c r="D1278" s="55">
        <v>260</v>
      </c>
      <c r="E1278" s="55" t="s">
        <v>2555</v>
      </c>
      <c r="F1278" s="55" t="s">
        <v>196</v>
      </c>
      <c r="G1278" s="55" t="s">
        <v>349</v>
      </c>
      <c r="H1278" s="50" t="s">
        <v>2556</v>
      </c>
    </row>
    <row r="1279" spans="3:8" x14ac:dyDescent="0.2">
      <c r="C1279" s="195">
        <v>44607</v>
      </c>
      <c r="D1279" s="55">
        <v>280</v>
      </c>
      <c r="E1279" s="55" t="s">
        <v>2557</v>
      </c>
      <c r="F1279" s="55" t="s">
        <v>263</v>
      </c>
      <c r="G1279" s="55" t="s">
        <v>613</v>
      </c>
      <c r="H1279" s="50" t="s">
        <v>2558</v>
      </c>
    </row>
    <row r="1280" spans="3:8" x14ac:dyDescent="0.2">
      <c r="C1280" s="195">
        <v>44607</v>
      </c>
      <c r="D1280" s="55">
        <v>280</v>
      </c>
      <c r="E1280" s="55" t="s">
        <v>2559</v>
      </c>
      <c r="F1280" s="55" t="s">
        <v>210</v>
      </c>
      <c r="G1280" s="55" t="s">
        <v>235</v>
      </c>
      <c r="H1280" s="50" t="s">
        <v>2560</v>
      </c>
    </row>
    <row r="1281" spans="1:62" x14ac:dyDescent="0.2">
      <c r="C1281" s="195">
        <v>44603</v>
      </c>
      <c r="D1281" s="55">
        <v>260</v>
      </c>
      <c r="E1281" s="55" t="s">
        <v>2561</v>
      </c>
      <c r="F1281" s="55" t="s">
        <v>202</v>
      </c>
      <c r="G1281" s="55" t="s">
        <v>321</v>
      </c>
      <c r="H1281" s="50" t="s">
        <v>224</v>
      </c>
    </row>
    <row r="1282" spans="1:62" x14ac:dyDescent="0.2">
      <c r="A1282" s="57">
        <v>222</v>
      </c>
      <c r="B1282" t="s">
        <v>836</v>
      </c>
      <c r="C1282" s="195">
        <v>44594</v>
      </c>
      <c r="D1282" s="55">
        <v>260</v>
      </c>
      <c r="E1282" s="55" t="s">
        <v>2562</v>
      </c>
      <c r="F1282" s="55" t="s">
        <v>196</v>
      </c>
      <c r="G1282" s="55" t="s">
        <v>557</v>
      </c>
      <c r="I1282" s="46" t="s">
        <v>837</v>
      </c>
    </row>
    <row r="1283" spans="1:62" x14ac:dyDescent="0.2">
      <c r="C1283" s="195">
        <v>44601</v>
      </c>
      <c r="D1283" s="55">
        <v>280</v>
      </c>
      <c r="E1283" s="55" t="s">
        <v>2563</v>
      </c>
      <c r="F1283" s="55" t="s">
        <v>210</v>
      </c>
      <c r="G1283" s="55" t="s">
        <v>306</v>
      </c>
      <c r="H1283" s="50" t="s">
        <v>2564</v>
      </c>
    </row>
    <row r="1284" spans="1:62" x14ac:dyDescent="0.2">
      <c r="C1284" s="195">
        <v>44609</v>
      </c>
      <c r="D1284" s="55">
        <v>280</v>
      </c>
      <c r="E1284" s="55" t="s">
        <v>2565</v>
      </c>
      <c r="F1284" s="55" t="s">
        <v>390</v>
      </c>
      <c r="G1284" s="55" t="s">
        <v>870</v>
      </c>
      <c r="H1284" s="50" t="s">
        <v>2566</v>
      </c>
    </row>
    <row r="1285" spans="1:62" x14ac:dyDescent="0.2">
      <c r="C1285" s="195">
        <v>44620</v>
      </c>
      <c r="D1285" s="55">
        <v>260</v>
      </c>
      <c r="E1285" s="55" t="s">
        <v>2567</v>
      </c>
      <c r="F1285" s="55" t="s">
        <v>192</v>
      </c>
      <c r="G1285" s="55" t="s">
        <v>487</v>
      </c>
      <c r="H1285" s="50" t="s">
        <v>2568</v>
      </c>
    </row>
    <row r="1286" spans="1:62" x14ac:dyDescent="0.2">
      <c r="A1286" s="57">
        <v>222</v>
      </c>
      <c r="B1286" s="162" t="s">
        <v>836</v>
      </c>
      <c r="C1286" s="195">
        <v>44609</v>
      </c>
      <c r="D1286" s="55">
        <v>260</v>
      </c>
      <c r="E1286" s="55" t="s">
        <v>2569</v>
      </c>
      <c r="F1286" s="55" t="s">
        <v>267</v>
      </c>
      <c r="G1286" s="55" t="s">
        <v>442</v>
      </c>
      <c r="I1286" s="46" t="s">
        <v>839</v>
      </c>
      <c r="J1286" s="52">
        <v>1</v>
      </c>
      <c r="K1286" s="52">
        <v>1</v>
      </c>
      <c r="O1286" s="1">
        <v>1</v>
      </c>
      <c r="S1286" s="1">
        <v>1</v>
      </c>
      <c r="W1286" s="1">
        <v>1</v>
      </c>
      <c r="AA1286" s="1">
        <v>1</v>
      </c>
      <c r="AG1286">
        <v>1</v>
      </c>
      <c r="AM1286">
        <v>4</v>
      </c>
      <c r="AS1286">
        <v>4</v>
      </c>
      <c r="AT1286">
        <v>1</v>
      </c>
      <c r="AU1286">
        <v>1</v>
      </c>
      <c r="AZ1286">
        <v>1</v>
      </c>
      <c r="BA1286">
        <v>1</v>
      </c>
      <c r="BB1286">
        <v>1</v>
      </c>
      <c r="BC1286">
        <v>1</v>
      </c>
      <c r="BD1286">
        <v>1</v>
      </c>
      <c r="BE1286">
        <v>1</v>
      </c>
      <c r="BJ1286">
        <v>1</v>
      </c>
    </row>
    <row r="1287" spans="1:62" x14ac:dyDescent="0.2">
      <c r="C1287" s="195">
        <v>44596</v>
      </c>
      <c r="D1287" s="55">
        <v>280</v>
      </c>
      <c r="E1287" s="55" t="s">
        <v>2570</v>
      </c>
      <c r="F1287" s="55" t="s">
        <v>210</v>
      </c>
      <c r="G1287" s="55" t="s">
        <v>1572</v>
      </c>
      <c r="H1287" s="50" t="s">
        <v>2571</v>
      </c>
    </row>
    <row r="1288" spans="1:62" x14ac:dyDescent="0.2">
      <c r="C1288" s="195">
        <v>44608</v>
      </c>
      <c r="D1288" s="55">
        <v>260</v>
      </c>
      <c r="E1288" s="55" t="s">
        <v>2572</v>
      </c>
      <c r="F1288" s="55" t="s">
        <v>202</v>
      </c>
      <c r="G1288" s="55" t="s">
        <v>302</v>
      </c>
      <c r="H1288" s="50" t="s">
        <v>224</v>
      </c>
    </row>
    <row r="1289" spans="1:62" x14ac:dyDescent="0.2">
      <c r="C1289" s="195">
        <v>44606</v>
      </c>
      <c r="D1289" s="55">
        <v>260</v>
      </c>
      <c r="E1289" s="55" t="s">
        <v>2573</v>
      </c>
      <c r="F1289" s="55" t="s">
        <v>192</v>
      </c>
      <c r="G1289" s="55" t="s">
        <v>258</v>
      </c>
      <c r="H1289" s="50" t="s">
        <v>2574</v>
      </c>
    </row>
    <row r="1290" spans="1:62" x14ac:dyDescent="0.2">
      <c r="C1290" s="195">
        <v>44613</v>
      </c>
      <c r="D1290" s="55">
        <v>260</v>
      </c>
      <c r="E1290" s="55" t="s">
        <v>2575</v>
      </c>
      <c r="F1290" s="55" t="s">
        <v>267</v>
      </c>
      <c r="G1290" s="55" t="s">
        <v>331</v>
      </c>
      <c r="H1290" s="50" t="s">
        <v>2576</v>
      </c>
    </row>
    <row r="1291" spans="1:62" x14ac:dyDescent="0.2">
      <c r="A1291" s="57">
        <v>222</v>
      </c>
      <c r="B1291" s="162" t="s">
        <v>836</v>
      </c>
      <c r="C1291" s="195">
        <v>44616</v>
      </c>
      <c r="D1291" s="55">
        <v>260</v>
      </c>
      <c r="E1291" s="55" t="s">
        <v>2577</v>
      </c>
      <c r="F1291" s="55" t="s">
        <v>390</v>
      </c>
      <c r="G1291" s="55" t="s">
        <v>490</v>
      </c>
      <c r="H1291" s="50" t="s">
        <v>2578</v>
      </c>
      <c r="I1291" s="46" t="s">
        <v>839</v>
      </c>
      <c r="J1291" s="52">
        <v>1</v>
      </c>
      <c r="K1291" s="52">
        <v>1</v>
      </c>
      <c r="O1291" s="1">
        <v>1</v>
      </c>
      <c r="S1291" s="1">
        <v>1</v>
      </c>
      <c r="W1291" s="1">
        <v>1</v>
      </c>
      <c r="AA1291" s="1">
        <v>1</v>
      </c>
      <c r="AG1291">
        <v>1</v>
      </c>
      <c r="AM1291">
        <v>1</v>
      </c>
      <c r="AN1291">
        <v>4</v>
      </c>
      <c r="AO1291">
        <v>4</v>
      </c>
      <c r="AP1291">
        <v>4</v>
      </c>
      <c r="AQ1291">
        <v>4</v>
      </c>
      <c r="AR1291">
        <v>4</v>
      </c>
      <c r="AS1291">
        <v>4</v>
      </c>
      <c r="AT1291">
        <v>1</v>
      </c>
      <c r="AU1291">
        <v>1</v>
      </c>
      <c r="AZ1291">
        <v>1</v>
      </c>
      <c r="BA1291">
        <v>1</v>
      </c>
      <c r="BB1291">
        <v>1</v>
      </c>
      <c r="BC1291">
        <v>1</v>
      </c>
      <c r="BD1291">
        <v>1</v>
      </c>
      <c r="BE1291">
        <v>1</v>
      </c>
      <c r="BJ1291">
        <v>1</v>
      </c>
    </row>
    <row r="1292" spans="1:62" x14ac:dyDescent="0.2">
      <c r="C1292" s="195">
        <v>44599</v>
      </c>
      <c r="D1292" s="55">
        <v>260</v>
      </c>
      <c r="E1292" s="55" t="s">
        <v>2579</v>
      </c>
      <c r="F1292" s="55" t="s">
        <v>267</v>
      </c>
      <c r="G1292" s="55" t="s">
        <v>331</v>
      </c>
      <c r="H1292" s="50" t="s">
        <v>2580</v>
      </c>
    </row>
    <row r="1293" spans="1:62" x14ac:dyDescent="0.2">
      <c r="C1293" s="195">
        <v>44602</v>
      </c>
      <c r="D1293" s="55">
        <v>260</v>
      </c>
      <c r="E1293" s="55" t="s">
        <v>2581</v>
      </c>
      <c r="F1293" s="55" t="s">
        <v>291</v>
      </c>
      <c r="G1293" s="55" t="s">
        <v>480</v>
      </c>
      <c r="H1293" s="50" t="s">
        <v>2582</v>
      </c>
    </row>
    <row r="1294" spans="1:62" x14ac:dyDescent="0.2">
      <c r="C1294" s="195">
        <v>44610</v>
      </c>
      <c r="D1294" s="55">
        <v>260</v>
      </c>
      <c r="E1294" s="55" t="s">
        <v>2583</v>
      </c>
      <c r="F1294" s="55" t="s">
        <v>390</v>
      </c>
      <c r="G1294" s="55" t="s">
        <v>870</v>
      </c>
      <c r="H1294" s="50" t="s">
        <v>2584</v>
      </c>
    </row>
    <row r="1295" spans="1:62" x14ac:dyDescent="0.2">
      <c r="C1295" s="195">
        <v>44607</v>
      </c>
      <c r="D1295" s="55">
        <v>260</v>
      </c>
      <c r="E1295" s="55" t="s">
        <v>2585</v>
      </c>
      <c r="F1295" s="55" t="s">
        <v>206</v>
      </c>
      <c r="G1295" s="55" t="s">
        <v>214</v>
      </c>
      <c r="H1295" s="50" t="s">
        <v>2586</v>
      </c>
    </row>
    <row r="1296" spans="1:62" x14ac:dyDescent="0.2">
      <c r="C1296" s="195">
        <v>44610</v>
      </c>
      <c r="D1296" s="55">
        <v>260</v>
      </c>
      <c r="E1296" s="55" t="s">
        <v>2587</v>
      </c>
      <c r="F1296" s="55" t="s">
        <v>192</v>
      </c>
      <c r="G1296" s="55" t="s">
        <v>324</v>
      </c>
      <c r="H1296" s="50" t="s">
        <v>2588</v>
      </c>
    </row>
    <row r="1297" spans="1:62" x14ac:dyDescent="0.2">
      <c r="C1297" s="195">
        <v>44601</v>
      </c>
      <c r="D1297" s="55">
        <v>260</v>
      </c>
      <c r="E1297" s="55" t="s">
        <v>2589</v>
      </c>
      <c r="F1297" s="55" t="s">
        <v>219</v>
      </c>
      <c r="G1297" s="55" t="s">
        <v>220</v>
      </c>
      <c r="H1297" s="50" t="s">
        <v>2590</v>
      </c>
    </row>
    <row r="1298" spans="1:62" x14ac:dyDescent="0.2">
      <c r="C1298" s="195">
        <v>44598</v>
      </c>
      <c r="D1298" s="55">
        <v>260</v>
      </c>
      <c r="E1298" s="55" t="s">
        <v>2591</v>
      </c>
      <c r="F1298" s="55" t="s">
        <v>244</v>
      </c>
      <c r="G1298" s="55" t="s">
        <v>2592</v>
      </c>
      <c r="H1298" s="50" t="s">
        <v>2593</v>
      </c>
    </row>
    <row r="1299" spans="1:62" x14ac:dyDescent="0.2">
      <c r="C1299" s="195">
        <v>44617</v>
      </c>
      <c r="D1299" s="55">
        <v>280</v>
      </c>
      <c r="E1299" s="55" t="s">
        <v>2594</v>
      </c>
      <c r="F1299" s="55" t="s">
        <v>267</v>
      </c>
      <c r="G1299" s="55" t="s">
        <v>708</v>
      </c>
      <c r="H1299" s="50" t="s">
        <v>2595</v>
      </c>
    </row>
    <row r="1300" spans="1:62" x14ac:dyDescent="0.2">
      <c r="C1300" s="195">
        <v>44613</v>
      </c>
      <c r="D1300" s="55">
        <v>260</v>
      </c>
      <c r="E1300" s="55" t="s">
        <v>2596</v>
      </c>
      <c r="F1300" s="55" t="s">
        <v>231</v>
      </c>
      <c r="G1300" s="55" t="s">
        <v>782</v>
      </c>
      <c r="H1300" s="50" t="s">
        <v>2597</v>
      </c>
    </row>
    <row r="1301" spans="1:62" x14ac:dyDescent="0.2">
      <c r="C1301" s="195">
        <v>44602</v>
      </c>
      <c r="D1301" s="55">
        <v>280</v>
      </c>
      <c r="E1301" s="55" t="s">
        <v>2598</v>
      </c>
      <c r="F1301" s="55" t="s">
        <v>231</v>
      </c>
      <c r="G1301" s="55" t="s">
        <v>782</v>
      </c>
      <c r="H1301" s="50" t="s">
        <v>2599</v>
      </c>
    </row>
    <row r="1302" spans="1:62" x14ac:dyDescent="0.2">
      <c r="C1302" s="195">
        <v>44608</v>
      </c>
      <c r="D1302" s="55">
        <v>260</v>
      </c>
      <c r="E1302" s="55" t="s">
        <v>2600</v>
      </c>
      <c r="F1302" s="55" t="s">
        <v>244</v>
      </c>
      <c r="G1302" s="55" t="s">
        <v>393</v>
      </c>
      <c r="H1302" s="50" t="s">
        <v>2601</v>
      </c>
    </row>
    <row r="1303" spans="1:62" x14ac:dyDescent="0.2">
      <c r="C1303" s="195">
        <v>44616</v>
      </c>
      <c r="D1303" s="55">
        <v>280</v>
      </c>
      <c r="E1303" s="55" t="s">
        <v>2602</v>
      </c>
      <c r="F1303" s="55" t="s">
        <v>231</v>
      </c>
      <c r="G1303" s="55" t="s">
        <v>2603</v>
      </c>
      <c r="H1303" s="50" t="s">
        <v>2604</v>
      </c>
    </row>
    <row r="1304" spans="1:62" x14ac:dyDescent="0.2">
      <c r="C1304" s="195">
        <v>44595</v>
      </c>
      <c r="D1304" s="55">
        <v>280</v>
      </c>
      <c r="E1304" s="55" t="s">
        <v>2605</v>
      </c>
      <c r="F1304" s="55" t="s">
        <v>267</v>
      </c>
      <c r="G1304" s="55" t="s">
        <v>268</v>
      </c>
      <c r="H1304" s="50" t="s">
        <v>2606</v>
      </c>
    </row>
    <row r="1305" spans="1:62" x14ac:dyDescent="0.2">
      <c r="C1305" s="195">
        <v>44607</v>
      </c>
      <c r="D1305" s="55">
        <v>280</v>
      </c>
      <c r="E1305" s="55" t="s">
        <v>2607</v>
      </c>
      <c r="F1305" s="55" t="s">
        <v>263</v>
      </c>
      <c r="G1305" s="55" t="s">
        <v>506</v>
      </c>
    </row>
    <row r="1306" spans="1:62" x14ac:dyDescent="0.2">
      <c r="C1306" s="195">
        <v>44599</v>
      </c>
      <c r="D1306" s="55">
        <v>260</v>
      </c>
      <c r="E1306" s="55" t="s">
        <v>2608</v>
      </c>
      <c r="F1306" s="55" t="s">
        <v>202</v>
      </c>
      <c r="G1306" s="55" t="s">
        <v>276</v>
      </c>
      <c r="H1306" s="50" t="s">
        <v>2609</v>
      </c>
    </row>
    <row r="1307" spans="1:62" x14ac:dyDescent="0.2">
      <c r="C1307" s="195">
        <v>44594</v>
      </c>
      <c r="D1307" s="55">
        <v>260</v>
      </c>
      <c r="E1307" s="55" t="s">
        <v>2610</v>
      </c>
      <c r="F1307" s="55" t="s">
        <v>267</v>
      </c>
      <c r="G1307" s="55" t="s">
        <v>442</v>
      </c>
      <c r="H1307" s="50" t="s">
        <v>2611</v>
      </c>
    </row>
    <row r="1308" spans="1:62" x14ac:dyDescent="0.2">
      <c r="C1308" s="195">
        <v>44620</v>
      </c>
      <c r="D1308" s="55">
        <v>280</v>
      </c>
      <c r="E1308" s="55" t="s">
        <v>2612</v>
      </c>
      <c r="F1308" s="55" t="s">
        <v>263</v>
      </c>
      <c r="G1308" s="55" t="s">
        <v>1113</v>
      </c>
      <c r="H1308" s="50" t="s">
        <v>2613</v>
      </c>
    </row>
    <row r="1309" spans="1:62" x14ac:dyDescent="0.2">
      <c r="C1309" s="195">
        <v>44620</v>
      </c>
      <c r="D1309" s="55">
        <v>280</v>
      </c>
      <c r="E1309" s="55" t="s">
        <v>2614</v>
      </c>
      <c r="F1309" s="55" t="s">
        <v>231</v>
      </c>
      <c r="G1309" s="55" t="s">
        <v>1098</v>
      </c>
      <c r="H1309" s="50" t="s">
        <v>2615</v>
      </c>
    </row>
    <row r="1310" spans="1:62" x14ac:dyDescent="0.2">
      <c r="C1310" s="195">
        <v>44602</v>
      </c>
      <c r="D1310" s="55">
        <v>280</v>
      </c>
      <c r="E1310" s="55" t="s">
        <v>2616</v>
      </c>
      <c r="F1310" s="55" t="s">
        <v>263</v>
      </c>
      <c r="G1310" s="55" t="s">
        <v>1005</v>
      </c>
      <c r="H1310" s="50" t="s">
        <v>2617</v>
      </c>
    </row>
    <row r="1311" spans="1:62" x14ac:dyDescent="0.2">
      <c r="C1311" s="195">
        <v>44600</v>
      </c>
      <c r="D1311" s="55">
        <v>260</v>
      </c>
      <c r="E1311" s="55" t="s">
        <v>2618</v>
      </c>
      <c r="F1311" s="55" t="s">
        <v>206</v>
      </c>
      <c r="G1311" s="55" t="s">
        <v>548</v>
      </c>
      <c r="H1311" s="50" t="s">
        <v>2619</v>
      </c>
    </row>
    <row r="1312" spans="1:62" x14ac:dyDescent="0.2">
      <c r="A1312" s="57">
        <v>222</v>
      </c>
      <c r="B1312" s="162" t="s">
        <v>836</v>
      </c>
      <c r="C1312" s="195">
        <v>44606</v>
      </c>
      <c r="D1312" s="55">
        <v>260</v>
      </c>
      <c r="E1312" s="55" t="s">
        <v>2620</v>
      </c>
      <c r="F1312" s="55" t="s">
        <v>192</v>
      </c>
      <c r="G1312" s="55" t="s">
        <v>487</v>
      </c>
      <c r="H1312" s="50" t="s">
        <v>224</v>
      </c>
      <c r="I1312" s="46" t="s">
        <v>839</v>
      </c>
      <c r="J1312" s="52">
        <v>1</v>
      </c>
      <c r="K1312" s="52">
        <v>1</v>
      </c>
      <c r="O1312" s="1">
        <v>1</v>
      </c>
      <c r="S1312" s="1">
        <v>1</v>
      </c>
      <c r="W1312" s="1">
        <v>1</v>
      </c>
      <c r="AA1312" s="1">
        <v>1</v>
      </c>
      <c r="AG1312">
        <v>1</v>
      </c>
      <c r="AM1312">
        <v>4</v>
      </c>
      <c r="AS1312">
        <v>4</v>
      </c>
      <c r="AT1312">
        <v>1</v>
      </c>
      <c r="AU1312">
        <v>1</v>
      </c>
      <c r="AZ1312">
        <v>1</v>
      </c>
      <c r="BA1312">
        <v>1</v>
      </c>
      <c r="BB1312">
        <v>1</v>
      </c>
      <c r="BC1312">
        <v>1</v>
      </c>
      <c r="BD1312">
        <v>1</v>
      </c>
      <c r="BE1312">
        <v>1</v>
      </c>
      <c r="BJ1312">
        <v>5</v>
      </c>
    </row>
    <row r="1313" spans="3:8" x14ac:dyDescent="0.2">
      <c r="C1313" s="195">
        <v>44601</v>
      </c>
      <c r="D1313" s="55">
        <v>280</v>
      </c>
      <c r="E1313" s="55" t="s">
        <v>2621</v>
      </c>
      <c r="F1313" s="55" t="s">
        <v>206</v>
      </c>
      <c r="G1313" s="55" t="s">
        <v>228</v>
      </c>
      <c r="H1313" s="50" t="s">
        <v>2622</v>
      </c>
    </row>
    <row r="1314" spans="3:8" x14ac:dyDescent="0.2">
      <c r="C1314" s="195">
        <v>44603</v>
      </c>
      <c r="D1314" s="55">
        <v>280</v>
      </c>
      <c r="E1314" s="55" t="s">
        <v>2623</v>
      </c>
      <c r="F1314" s="55" t="s">
        <v>202</v>
      </c>
      <c r="G1314" s="55" t="s">
        <v>2106</v>
      </c>
      <c r="H1314" s="50" t="s">
        <v>2624</v>
      </c>
    </row>
    <row r="1315" spans="3:8" x14ac:dyDescent="0.2">
      <c r="C1315" s="195">
        <v>44608</v>
      </c>
      <c r="D1315" s="55">
        <v>260</v>
      </c>
      <c r="E1315" s="55" t="s">
        <v>2625</v>
      </c>
      <c r="F1315" s="55" t="s">
        <v>244</v>
      </c>
      <c r="G1315" s="55" t="s">
        <v>245</v>
      </c>
      <c r="H1315" s="50" t="s">
        <v>2626</v>
      </c>
    </row>
    <row r="1316" spans="3:8" x14ac:dyDescent="0.2">
      <c r="C1316" s="195">
        <v>44613</v>
      </c>
      <c r="D1316" s="55">
        <v>280</v>
      </c>
      <c r="E1316" s="55" t="s">
        <v>2627</v>
      </c>
      <c r="F1316" s="55" t="s">
        <v>210</v>
      </c>
      <c r="G1316" s="55" t="s">
        <v>1572</v>
      </c>
      <c r="H1316" s="50" t="s">
        <v>2628</v>
      </c>
    </row>
    <row r="1317" spans="3:8" x14ac:dyDescent="0.2">
      <c r="C1317" s="195">
        <v>44620</v>
      </c>
      <c r="D1317" s="55">
        <v>260</v>
      </c>
      <c r="E1317" s="55" t="s">
        <v>2629</v>
      </c>
      <c r="F1317" s="55" t="s">
        <v>291</v>
      </c>
      <c r="G1317" s="55" t="s">
        <v>819</v>
      </c>
      <c r="H1317" s="50" t="s">
        <v>2630</v>
      </c>
    </row>
    <row r="1318" spans="3:8" x14ac:dyDescent="0.2">
      <c r="C1318" s="195">
        <v>44601</v>
      </c>
      <c r="D1318" s="55">
        <v>260</v>
      </c>
      <c r="E1318" s="55" t="s">
        <v>2631</v>
      </c>
      <c r="F1318" s="55" t="s">
        <v>202</v>
      </c>
      <c r="G1318" s="55" t="s">
        <v>341</v>
      </c>
      <c r="H1318" s="50" t="s">
        <v>2632</v>
      </c>
    </row>
    <row r="1319" spans="3:8" x14ac:dyDescent="0.2">
      <c r="C1319" s="195">
        <v>44601</v>
      </c>
      <c r="D1319" s="55">
        <v>260</v>
      </c>
      <c r="E1319" s="55" t="s">
        <v>2633</v>
      </c>
      <c r="F1319" s="55" t="s">
        <v>192</v>
      </c>
      <c r="G1319" s="55" t="s">
        <v>258</v>
      </c>
      <c r="H1319" s="50" t="s">
        <v>2634</v>
      </c>
    </row>
    <row r="1320" spans="3:8" x14ac:dyDescent="0.2">
      <c r="C1320" s="195">
        <v>44609</v>
      </c>
      <c r="D1320" s="55">
        <v>280</v>
      </c>
      <c r="E1320" s="55" t="s">
        <v>2635</v>
      </c>
      <c r="F1320" s="55" t="s">
        <v>202</v>
      </c>
      <c r="G1320" s="55" t="s">
        <v>2106</v>
      </c>
    </row>
    <row r="1321" spans="3:8" x14ac:dyDescent="0.2">
      <c r="C1321" s="195">
        <v>44614</v>
      </c>
      <c r="D1321" s="55">
        <v>260</v>
      </c>
      <c r="E1321" s="55" t="s">
        <v>2636</v>
      </c>
      <c r="F1321" s="55" t="s">
        <v>210</v>
      </c>
      <c r="G1321" s="55" t="s">
        <v>418</v>
      </c>
      <c r="H1321" s="50" t="s">
        <v>2637</v>
      </c>
    </row>
    <row r="1322" spans="3:8" x14ac:dyDescent="0.2">
      <c r="C1322" s="195">
        <v>44596</v>
      </c>
      <c r="D1322" s="55">
        <v>260</v>
      </c>
      <c r="E1322" s="55" t="s">
        <v>2638</v>
      </c>
      <c r="F1322" s="55" t="s">
        <v>291</v>
      </c>
      <c r="G1322" s="55" t="s">
        <v>607</v>
      </c>
      <c r="H1322" s="50" t="s">
        <v>224</v>
      </c>
    </row>
    <row r="1323" spans="3:8" x14ac:dyDescent="0.2">
      <c r="C1323" s="195">
        <v>44606</v>
      </c>
      <c r="D1323" s="55">
        <v>280</v>
      </c>
      <c r="E1323" s="55" t="s">
        <v>2639</v>
      </c>
      <c r="F1323" s="55" t="s">
        <v>196</v>
      </c>
      <c r="G1323" s="55" t="s">
        <v>498</v>
      </c>
      <c r="H1323" s="50" t="s">
        <v>2640</v>
      </c>
    </row>
    <row r="1324" spans="3:8" x14ac:dyDescent="0.2">
      <c r="C1324" s="195">
        <v>44596</v>
      </c>
      <c r="D1324" s="55">
        <v>260</v>
      </c>
      <c r="E1324" s="55" t="s">
        <v>2641</v>
      </c>
      <c r="F1324" s="55" t="s">
        <v>192</v>
      </c>
      <c r="G1324" s="55" t="s">
        <v>193</v>
      </c>
      <c r="H1324" s="50" t="s">
        <v>2642</v>
      </c>
    </row>
    <row r="1325" spans="3:8" x14ac:dyDescent="0.2">
      <c r="C1325" s="195">
        <v>44614</v>
      </c>
      <c r="D1325" s="55">
        <v>260</v>
      </c>
      <c r="E1325" s="55" t="s">
        <v>2643</v>
      </c>
      <c r="F1325" s="55" t="s">
        <v>192</v>
      </c>
      <c r="G1325" s="55" t="s">
        <v>193</v>
      </c>
    </row>
    <row r="1326" spans="3:8" x14ac:dyDescent="0.2">
      <c r="C1326" s="195">
        <v>44593</v>
      </c>
      <c r="D1326" s="55">
        <v>280</v>
      </c>
      <c r="E1326" s="55" t="s">
        <v>2644</v>
      </c>
      <c r="F1326" s="55" t="s">
        <v>202</v>
      </c>
      <c r="G1326" s="55" t="s">
        <v>302</v>
      </c>
      <c r="H1326" s="50" t="s">
        <v>2645</v>
      </c>
    </row>
    <row r="1327" spans="3:8" x14ac:dyDescent="0.2">
      <c r="C1327" s="195">
        <v>44614</v>
      </c>
      <c r="D1327" s="55">
        <v>260</v>
      </c>
      <c r="E1327" s="55" t="s">
        <v>2646</v>
      </c>
      <c r="F1327" s="55" t="s">
        <v>192</v>
      </c>
      <c r="G1327" s="55" t="s">
        <v>193</v>
      </c>
      <c r="H1327" s="50" t="s">
        <v>224</v>
      </c>
    </row>
    <row r="1328" spans="3:8" x14ac:dyDescent="0.2">
      <c r="C1328" s="195">
        <v>44620</v>
      </c>
      <c r="D1328" s="55">
        <v>280</v>
      </c>
      <c r="E1328" s="55" t="s">
        <v>2647</v>
      </c>
      <c r="F1328" s="55" t="s">
        <v>263</v>
      </c>
      <c r="G1328" s="55" t="s">
        <v>426</v>
      </c>
      <c r="H1328" s="50" t="s">
        <v>2648</v>
      </c>
    </row>
    <row r="1329" spans="3:8" x14ac:dyDescent="0.2">
      <c r="C1329" s="195">
        <v>44603</v>
      </c>
      <c r="D1329" s="55">
        <v>280</v>
      </c>
      <c r="E1329" s="55" t="s">
        <v>2649</v>
      </c>
      <c r="F1329" s="55" t="s">
        <v>272</v>
      </c>
      <c r="G1329" s="55" t="s">
        <v>366</v>
      </c>
      <c r="H1329" s="50" t="s">
        <v>224</v>
      </c>
    </row>
    <row r="1330" spans="3:8" x14ac:dyDescent="0.2">
      <c r="C1330" s="195">
        <v>44617</v>
      </c>
      <c r="D1330" s="55">
        <v>260</v>
      </c>
      <c r="E1330" s="55" t="s">
        <v>2650</v>
      </c>
      <c r="F1330" s="55" t="s">
        <v>196</v>
      </c>
      <c r="G1330" s="55" t="s">
        <v>197</v>
      </c>
      <c r="H1330" s="50" t="s">
        <v>2651</v>
      </c>
    </row>
    <row r="1331" spans="3:8" x14ac:dyDescent="0.2">
      <c r="C1331" s="195">
        <v>44610</v>
      </c>
      <c r="D1331" s="55">
        <v>260</v>
      </c>
      <c r="E1331" s="55" t="s">
        <v>2652</v>
      </c>
      <c r="F1331" s="55" t="s">
        <v>210</v>
      </c>
      <c r="G1331" s="55" t="s">
        <v>211</v>
      </c>
      <c r="H1331" s="50" t="s">
        <v>224</v>
      </c>
    </row>
    <row r="1332" spans="3:8" x14ac:dyDescent="0.2">
      <c r="C1332" s="195">
        <v>44600</v>
      </c>
      <c r="D1332" s="55">
        <v>260</v>
      </c>
      <c r="E1332" s="55" t="s">
        <v>2653</v>
      </c>
      <c r="F1332" s="55" t="s">
        <v>196</v>
      </c>
      <c r="G1332" s="55" t="s">
        <v>415</v>
      </c>
      <c r="H1332" s="50" t="s">
        <v>2654</v>
      </c>
    </row>
    <row r="1333" spans="3:8" x14ac:dyDescent="0.2">
      <c r="C1333" s="195">
        <v>44601</v>
      </c>
      <c r="D1333" s="55">
        <v>260</v>
      </c>
      <c r="E1333" s="55" t="s">
        <v>2655</v>
      </c>
      <c r="F1333" s="55" t="s">
        <v>206</v>
      </c>
      <c r="G1333" s="55" t="s">
        <v>758</v>
      </c>
      <c r="H1333" s="50" t="s">
        <v>2656</v>
      </c>
    </row>
    <row r="1334" spans="3:8" x14ac:dyDescent="0.2">
      <c r="C1334" s="195">
        <v>44595</v>
      </c>
      <c r="D1334" s="55">
        <v>260</v>
      </c>
      <c r="E1334" s="55" t="s">
        <v>2657</v>
      </c>
      <c r="F1334" s="55" t="s">
        <v>390</v>
      </c>
      <c r="G1334" s="55" t="s">
        <v>870</v>
      </c>
      <c r="H1334" s="50" t="s">
        <v>2658</v>
      </c>
    </row>
    <row r="1335" spans="3:8" x14ac:dyDescent="0.2">
      <c r="C1335" s="195">
        <v>44608</v>
      </c>
      <c r="D1335" s="55">
        <v>280</v>
      </c>
      <c r="E1335" s="55" t="s">
        <v>2659</v>
      </c>
      <c r="F1335" s="55" t="s">
        <v>244</v>
      </c>
      <c r="G1335" s="55" t="s">
        <v>393</v>
      </c>
      <c r="H1335" s="50" t="s">
        <v>224</v>
      </c>
    </row>
    <row r="1336" spans="3:8" x14ac:dyDescent="0.2">
      <c r="C1336" s="195">
        <v>44614</v>
      </c>
      <c r="D1336" s="55">
        <v>280</v>
      </c>
      <c r="E1336" s="55" t="s">
        <v>2660</v>
      </c>
      <c r="F1336" s="55" t="s">
        <v>219</v>
      </c>
      <c r="G1336" s="55" t="s">
        <v>561</v>
      </c>
      <c r="H1336" s="50" t="s">
        <v>2661</v>
      </c>
    </row>
    <row r="1337" spans="3:8" x14ac:dyDescent="0.2">
      <c r="C1337" s="195">
        <v>44609</v>
      </c>
      <c r="D1337" s="55">
        <v>260</v>
      </c>
      <c r="E1337" s="55" t="s">
        <v>2662</v>
      </c>
      <c r="F1337" s="55" t="s">
        <v>202</v>
      </c>
      <c r="G1337" s="55" t="s">
        <v>276</v>
      </c>
      <c r="H1337" s="50" t="s">
        <v>2663</v>
      </c>
    </row>
    <row r="1338" spans="3:8" x14ac:dyDescent="0.2">
      <c r="C1338" s="195">
        <v>44600</v>
      </c>
      <c r="D1338" s="55">
        <v>280</v>
      </c>
      <c r="E1338" s="55" t="s">
        <v>2664</v>
      </c>
      <c r="F1338" s="55" t="s">
        <v>263</v>
      </c>
      <c r="G1338" s="55" t="s">
        <v>806</v>
      </c>
      <c r="H1338" s="50" t="s">
        <v>2665</v>
      </c>
    </row>
    <row r="1339" spans="3:8" x14ac:dyDescent="0.2">
      <c r="C1339" s="195">
        <v>44614</v>
      </c>
      <c r="D1339" s="55">
        <v>280</v>
      </c>
      <c r="E1339" s="55" t="s">
        <v>2666</v>
      </c>
      <c r="F1339" s="55" t="s">
        <v>231</v>
      </c>
      <c r="G1339" s="55" t="s">
        <v>232</v>
      </c>
      <c r="H1339" s="50" t="s">
        <v>2667</v>
      </c>
    </row>
    <row r="1340" spans="3:8" x14ac:dyDescent="0.2">
      <c r="C1340" s="195">
        <v>44620</v>
      </c>
      <c r="D1340" s="55">
        <v>280</v>
      </c>
      <c r="E1340" s="55" t="s">
        <v>2668</v>
      </c>
      <c r="F1340" s="55" t="s">
        <v>390</v>
      </c>
      <c r="G1340" s="55" t="s">
        <v>391</v>
      </c>
      <c r="H1340" s="50" t="s">
        <v>2669</v>
      </c>
    </row>
    <row r="1341" spans="3:8" x14ac:dyDescent="0.2">
      <c r="C1341" s="195">
        <v>44593</v>
      </c>
      <c r="D1341" s="55">
        <v>260</v>
      </c>
      <c r="E1341" s="55" t="s">
        <v>2670</v>
      </c>
      <c r="F1341" s="55" t="s">
        <v>267</v>
      </c>
      <c r="G1341" s="55" t="s">
        <v>813</v>
      </c>
      <c r="H1341" s="50" t="s">
        <v>224</v>
      </c>
    </row>
    <row r="1342" spans="3:8" x14ac:dyDescent="0.2">
      <c r="C1342" s="195">
        <v>44614</v>
      </c>
      <c r="D1342" s="55">
        <v>260</v>
      </c>
      <c r="E1342" s="55" t="s">
        <v>2671</v>
      </c>
      <c r="F1342" s="55" t="s">
        <v>210</v>
      </c>
      <c r="G1342" s="55" t="s">
        <v>235</v>
      </c>
      <c r="H1342" s="50" t="s">
        <v>224</v>
      </c>
    </row>
    <row r="1343" spans="3:8" x14ac:dyDescent="0.2">
      <c r="C1343" s="195">
        <v>44609</v>
      </c>
      <c r="D1343" s="55">
        <v>280</v>
      </c>
      <c r="E1343" s="55" t="s">
        <v>2672</v>
      </c>
      <c r="F1343" s="55" t="s">
        <v>202</v>
      </c>
      <c r="G1343" s="55" t="s">
        <v>321</v>
      </c>
      <c r="H1343" s="50" t="s">
        <v>2673</v>
      </c>
    </row>
    <row r="1344" spans="3:8" x14ac:dyDescent="0.2">
      <c r="C1344" s="195">
        <v>44610</v>
      </c>
      <c r="D1344" s="55">
        <v>260</v>
      </c>
      <c r="E1344" s="55" t="s">
        <v>2674</v>
      </c>
      <c r="F1344" s="55" t="s">
        <v>291</v>
      </c>
      <c r="G1344" s="55" t="s">
        <v>607</v>
      </c>
      <c r="H1344" s="50" t="s">
        <v>224</v>
      </c>
    </row>
    <row r="1345" spans="3:8" x14ac:dyDescent="0.2">
      <c r="C1345" s="195">
        <v>44594</v>
      </c>
      <c r="D1345" s="55">
        <v>280</v>
      </c>
      <c r="E1345" s="55" t="s">
        <v>2675</v>
      </c>
      <c r="F1345" s="55" t="s">
        <v>202</v>
      </c>
      <c r="G1345" s="55" t="s">
        <v>302</v>
      </c>
      <c r="H1345" s="50" t="s">
        <v>2676</v>
      </c>
    </row>
    <row r="1346" spans="3:8" x14ac:dyDescent="0.2">
      <c r="C1346" s="195">
        <v>44620</v>
      </c>
      <c r="D1346" s="55">
        <v>260</v>
      </c>
      <c r="E1346" s="55" t="s">
        <v>2677</v>
      </c>
      <c r="F1346" s="55" t="s">
        <v>206</v>
      </c>
      <c r="G1346" s="55" t="s">
        <v>214</v>
      </c>
      <c r="H1346" s="50" t="s">
        <v>2678</v>
      </c>
    </row>
    <row r="1347" spans="3:8" x14ac:dyDescent="0.2">
      <c r="C1347" s="195">
        <v>44601</v>
      </c>
      <c r="D1347" s="55">
        <v>260</v>
      </c>
      <c r="E1347" s="55" t="s">
        <v>2679</v>
      </c>
      <c r="F1347" s="55" t="s">
        <v>210</v>
      </c>
      <c r="G1347" s="55" t="s">
        <v>883</v>
      </c>
      <c r="H1347" s="50" t="s">
        <v>2680</v>
      </c>
    </row>
    <row r="1348" spans="3:8" x14ac:dyDescent="0.2">
      <c r="C1348" s="195">
        <v>44617</v>
      </c>
      <c r="D1348" s="55">
        <v>260</v>
      </c>
      <c r="E1348" s="55" t="s">
        <v>2681</v>
      </c>
      <c r="F1348" s="55" t="s">
        <v>263</v>
      </c>
      <c r="G1348" s="55" t="s">
        <v>892</v>
      </c>
      <c r="H1348" s="50" t="s">
        <v>2682</v>
      </c>
    </row>
    <row r="1349" spans="3:8" x14ac:dyDescent="0.2">
      <c r="C1349" s="195">
        <v>44610</v>
      </c>
      <c r="D1349" s="55">
        <v>280</v>
      </c>
      <c r="E1349" s="55" t="s">
        <v>2683</v>
      </c>
      <c r="F1349" s="55" t="s">
        <v>210</v>
      </c>
      <c r="G1349" s="55" t="s">
        <v>2684</v>
      </c>
      <c r="H1349" s="50" t="s">
        <v>2685</v>
      </c>
    </row>
    <row r="1350" spans="3:8" x14ac:dyDescent="0.2">
      <c r="C1350" s="195">
        <v>44617</v>
      </c>
      <c r="D1350" s="55">
        <v>260</v>
      </c>
      <c r="E1350" s="55" t="s">
        <v>2686</v>
      </c>
      <c r="F1350" s="55" t="s">
        <v>196</v>
      </c>
      <c r="G1350" s="55" t="s">
        <v>349</v>
      </c>
      <c r="H1350" s="50" t="s">
        <v>2687</v>
      </c>
    </row>
    <row r="1351" spans="3:8" x14ac:dyDescent="0.2">
      <c r="C1351" s="195">
        <v>44594</v>
      </c>
      <c r="D1351" s="55">
        <v>260</v>
      </c>
      <c r="E1351" s="55" t="s">
        <v>2688</v>
      </c>
      <c r="F1351" s="55" t="s">
        <v>210</v>
      </c>
      <c r="G1351" s="55" t="s">
        <v>211</v>
      </c>
      <c r="H1351" s="50" t="s">
        <v>2689</v>
      </c>
    </row>
    <row r="1352" spans="3:8" x14ac:dyDescent="0.2">
      <c r="C1352" s="195">
        <v>44595</v>
      </c>
      <c r="D1352" s="55">
        <v>260</v>
      </c>
      <c r="E1352" s="55" t="s">
        <v>2690</v>
      </c>
      <c r="F1352" s="55" t="s">
        <v>231</v>
      </c>
      <c r="G1352" s="55" t="s">
        <v>648</v>
      </c>
      <c r="H1352" s="50" t="s">
        <v>2691</v>
      </c>
    </row>
    <row r="1353" spans="3:8" x14ac:dyDescent="0.2">
      <c r="C1353" s="195">
        <v>44601</v>
      </c>
      <c r="D1353" s="55">
        <v>260</v>
      </c>
      <c r="E1353" s="55" t="s">
        <v>2692</v>
      </c>
      <c r="F1353" s="55" t="s">
        <v>202</v>
      </c>
      <c r="G1353" s="55" t="s">
        <v>341</v>
      </c>
      <c r="H1353" s="50" t="s">
        <v>224</v>
      </c>
    </row>
    <row r="1354" spans="3:8" x14ac:dyDescent="0.2">
      <c r="C1354" s="195">
        <v>44593</v>
      </c>
      <c r="D1354" s="55">
        <v>260</v>
      </c>
      <c r="E1354" s="55" t="s">
        <v>2693</v>
      </c>
      <c r="F1354" s="55" t="s">
        <v>231</v>
      </c>
      <c r="G1354" s="55" t="s">
        <v>232</v>
      </c>
      <c r="H1354" s="50" t="s">
        <v>2694</v>
      </c>
    </row>
    <row r="1355" spans="3:8" x14ac:dyDescent="0.2">
      <c r="C1355" s="195">
        <v>44599</v>
      </c>
      <c r="D1355" s="55">
        <v>280</v>
      </c>
      <c r="E1355" s="55" t="s">
        <v>2695</v>
      </c>
      <c r="F1355" s="55" t="s">
        <v>196</v>
      </c>
      <c r="G1355" s="55" t="s">
        <v>498</v>
      </c>
      <c r="H1355" s="50" t="s">
        <v>2696</v>
      </c>
    </row>
    <row r="1356" spans="3:8" x14ac:dyDescent="0.2">
      <c r="C1356" s="195">
        <v>44615</v>
      </c>
      <c r="D1356" s="55">
        <v>280</v>
      </c>
      <c r="E1356" s="55" t="s">
        <v>2697</v>
      </c>
      <c r="F1356" s="55" t="s">
        <v>263</v>
      </c>
      <c r="G1356" s="55" t="s">
        <v>1113</v>
      </c>
      <c r="H1356" s="50" t="s">
        <v>2698</v>
      </c>
    </row>
    <row r="1357" spans="3:8" x14ac:dyDescent="0.2">
      <c r="C1357" s="195">
        <v>44607</v>
      </c>
      <c r="D1357" s="55">
        <v>260</v>
      </c>
      <c r="E1357" s="55" t="s">
        <v>2699</v>
      </c>
      <c r="F1357" s="55" t="s">
        <v>206</v>
      </c>
      <c r="G1357" s="55" t="s">
        <v>548</v>
      </c>
      <c r="H1357" s="50" t="s">
        <v>2700</v>
      </c>
    </row>
    <row r="1358" spans="3:8" x14ac:dyDescent="0.2">
      <c r="C1358" s="195">
        <v>44594</v>
      </c>
      <c r="D1358" s="55">
        <v>260</v>
      </c>
      <c r="E1358" s="55" t="s">
        <v>1959</v>
      </c>
      <c r="F1358" s="55" t="s">
        <v>192</v>
      </c>
      <c r="G1358" s="55" t="s">
        <v>258</v>
      </c>
      <c r="H1358" s="50" t="s">
        <v>1960</v>
      </c>
    </row>
    <row r="1359" spans="3:8" x14ac:dyDescent="0.2">
      <c r="C1359" s="195">
        <v>44614</v>
      </c>
      <c r="D1359" s="55">
        <v>260</v>
      </c>
      <c r="E1359" s="55" t="s">
        <v>2701</v>
      </c>
      <c r="F1359" s="55" t="s">
        <v>210</v>
      </c>
      <c r="G1359" s="55" t="s">
        <v>418</v>
      </c>
      <c r="H1359" s="50" t="s">
        <v>2702</v>
      </c>
    </row>
    <row r="1360" spans="3:8" x14ac:dyDescent="0.2">
      <c r="C1360" s="195">
        <v>44603</v>
      </c>
      <c r="D1360" s="55">
        <v>260</v>
      </c>
      <c r="E1360" s="55" t="s">
        <v>2703</v>
      </c>
      <c r="F1360" s="55" t="s">
        <v>202</v>
      </c>
      <c r="G1360" s="55" t="s">
        <v>341</v>
      </c>
      <c r="H1360" s="50" t="s">
        <v>2704</v>
      </c>
    </row>
    <row r="1361" spans="3:8" x14ac:dyDescent="0.2">
      <c r="C1361" s="195">
        <v>44616</v>
      </c>
      <c r="D1361" s="55">
        <v>280</v>
      </c>
      <c r="E1361" s="55" t="s">
        <v>2705</v>
      </c>
      <c r="F1361" s="55" t="s">
        <v>390</v>
      </c>
      <c r="G1361" s="55" t="s">
        <v>870</v>
      </c>
      <c r="H1361" s="50" t="s">
        <v>2706</v>
      </c>
    </row>
    <row r="1362" spans="3:8" x14ac:dyDescent="0.2">
      <c r="C1362" s="195">
        <v>44608</v>
      </c>
      <c r="D1362" s="55">
        <v>260</v>
      </c>
      <c r="E1362" s="55" t="s">
        <v>2707</v>
      </c>
      <c r="F1362" s="55" t="s">
        <v>196</v>
      </c>
      <c r="G1362" s="55" t="s">
        <v>645</v>
      </c>
      <c r="H1362" s="50" t="s">
        <v>224</v>
      </c>
    </row>
    <row r="1363" spans="3:8" x14ac:dyDescent="0.2">
      <c r="C1363" s="195">
        <v>44599</v>
      </c>
      <c r="D1363" s="55">
        <v>280</v>
      </c>
      <c r="E1363" s="55" t="s">
        <v>2708</v>
      </c>
      <c r="F1363" s="55" t="s">
        <v>231</v>
      </c>
      <c r="G1363" s="55" t="s">
        <v>2088</v>
      </c>
      <c r="H1363" s="50" t="s">
        <v>2709</v>
      </c>
    </row>
    <row r="1364" spans="3:8" x14ac:dyDescent="0.2">
      <c r="C1364" s="195">
        <v>44616</v>
      </c>
      <c r="D1364" s="55">
        <v>260</v>
      </c>
      <c r="E1364" s="55" t="s">
        <v>2710</v>
      </c>
      <c r="F1364" s="55" t="s">
        <v>390</v>
      </c>
      <c r="G1364" s="55" t="s">
        <v>408</v>
      </c>
      <c r="H1364" s="50" t="s">
        <v>2711</v>
      </c>
    </row>
    <row r="1365" spans="3:8" x14ac:dyDescent="0.2">
      <c r="C1365" s="195">
        <v>44615</v>
      </c>
      <c r="D1365" s="55">
        <v>280</v>
      </c>
      <c r="E1365" s="55" t="s">
        <v>2712</v>
      </c>
      <c r="F1365" s="55" t="s">
        <v>244</v>
      </c>
      <c r="G1365" s="55" t="s">
        <v>767</v>
      </c>
      <c r="H1365" s="50" t="s">
        <v>2713</v>
      </c>
    </row>
    <row r="1366" spans="3:8" x14ac:dyDescent="0.2">
      <c r="C1366" s="195">
        <v>44620</v>
      </c>
      <c r="D1366" s="55">
        <v>260</v>
      </c>
      <c r="E1366" s="55" t="s">
        <v>2714</v>
      </c>
      <c r="F1366" s="55" t="s">
        <v>219</v>
      </c>
      <c r="G1366" s="55" t="s">
        <v>220</v>
      </c>
      <c r="H1366" s="50" t="s">
        <v>2715</v>
      </c>
    </row>
    <row r="1367" spans="3:8" x14ac:dyDescent="0.2">
      <c r="C1367" s="195">
        <v>44617</v>
      </c>
      <c r="D1367" s="55">
        <v>280</v>
      </c>
      <c r="E1367" s="55" t="s">
        <v>2716</v>
      </c>
      <c r="F1367" s="55" t="s">
        <v>192</v>
      </c>
      <c r="G1367" s="55" t="s">
        <v>258</v>
      </c>
      <c r="H1367" s="50" t="s">
        <v>224</v>
      </c>
    </row>
    <row r="1368" spans="3:8" x14ac:dyDescent="0.2">
      <c r="C1368" s="195">
        <v>44607</v>
      </c>
      <c r="D1368" s="55">
        <v>260</v>
      </c>
      <c r="E1368" s="55" t="s">
        <v>2717</v>
      </c>
      <c r="F1368" s="55" t="s">
        <v>202</v>
      </c>
      <c r="G1368" s="55" t="s">
        <v>341</v>
      </c>
    </row>
    <row r="1369" spans="3:8" x14ac:dyDescent="0.2">
      <c r="C1369" s="195">
        <v>44601</v>
      </c>
      <c r="D1369" s="55">
        <v>260</v>
      </c>
      <c r="E1369" s="55" t="s">
        <v>2718</v>
      </c>
      <c r="F1369" s="55" t="s">
        <v>219</v>
      </c>
      <c r="G1369" s="55" t="s">
        <v>223</v>
      </c>
      <c r="H1369" s="50" t="s">
        <v>2719</v>
      </c>
    </row>
    <row r="1370" spans="3:8" x14ac:dyDescent="0.2">
      <c r="C1370" s="195">
        <v>44595</v>
      </c>
      <c r="D1370" s="55">
        <v>260</v>
      </c>
      <c r="E1370" s="55" t="s">
        <v>2720</v>
      </c>
      <c r="F1370" s="55" t="s">
        <v>263</v>
      </c>
      <c r="G1370" s="55" t="s">
        <v>633</v>
      </c>
      <c r="H1370" s="50" t="s">
        <v>2721</v>
      </c>
    </row>
    <row r="1371" spans="3:8" x14ac:dyDescent="0.2">
      <c r="C1371" s="195">
        <v>44600</v>
      </c>
      <c r="D1371" s="55">
        <v>280</v>
      </c>
      <c r="E1371" s="55" t="s">
        <v>2722</v>
      </c>
      <c r="F1371" s="55" t="s">
        <v>291</v>
      </c>
      <c r="G1371" s="55" t="s">
        <v>2723</v>
      </c>
      <c r="H1371" s="50" t="s">
        <v>2724</v>
      </c>
    </row>
    <row r="1372" spans="3:8" x14ac:dyDescent="0.2">
      <c r="C1372" s="195">
        <v>44620</v>
      </c>
      <c r="D1372" s="55">
        <v>280</v>
      </c>
      <c r="E1372" s="55" t="s">
        <v>2725</v>
      </c>
      <c r="F1372" s="55" t="s">
        <v>231</v>
      </c>
      <c r="G1372" s="55" t="s">
        <v>371</v>
      </c>
      <c r="H1372" s="50" t="s">
        <v>2726</v>
      </c>
    </row>
    <row r="1373" spans="3:8" x14ac:dyDescent="0.2">
      <c r="C1373" s="195">
        <v>44602</v>
      </c>
      <c r="D1373" s="55">
        <v>260</v>
      </c>
      <c r="E1373" s="55" t="s">
        <v>2727</v>
      </c>
      <c r="F1373" s="55" t="s">
        <v>244</v>
      </c>
      <c r="G1373" s="55" t="s">
        <v>696</v>
      </c>
    </row>
    <row r="1374" spans="3:8" x14ac:dyDescent="0.2">
      <c r="C1374" s="195">
        <v>44595</v>
      </c>
      <c r="D1374" s="55">
        <v>260</v>
      </c>
      <c r="E1374" s="55" t="s">
        <v>2728</v>
      </c>
      <c r="F1374" s="55" t="s">
        <v>202</v>
      </c>
      <c r="G1374" s="55" t="s">
        <v>297</v>
      </c>
      <c r="H1374" s="50" t="s">
        <v>2729</v>
      </c>
    </row>
    <row r="1375" spans="3:8" x14ac:dyDescent="0.2">
      <c r="C1375" s="195">
        <v>44601</v>
      </c>
      <c r="D1375" s="55">
        <v>260</v>
      </c>
      <c r="E1375" s="55" t="s">
        <v>2730</v>
      </c>
      <c r="F1375" s="55" t="s">
        <v>267</v>
      </c>
      <c r="G1375" s="55" t="s">
        <v>813</v>
      </c>
      <c r="H1375" s="50" t="s">
        <v>224</v>
      </c>
    </row>
    <row r="1376" spans="3:8" x14ac:dyDescent="0.2">
      <c r="C1376" s="195">
        <v>44617</v>
      </c>
      <c r="D1376" s="55">
        <v>260</v>
      </c>
      <c r="E1376" s="55" t="s">
        <v>2731</v>
      </c>
      <c r="F1376" s="55" t="s">
        <v>267</v>
      </c>
      <c r="G1376" s="55" t="s">
        <v>813</v>
      </c>
      <c r="H1376" s="50" t="s">
        <v>2732</v>
      </c>
    </row>
    <row r="1377" spans="3:8" x14ac:dyDescent="0.2">
      <c r="C1377" s="195">
        <v>44608</v>
      </c>
      <c r="D1377" s="55">
        <v>280</v>
      </c>
      <c r="E1377" s="55" t="s">
        <v>2733</v>
      </c>
      <c r="F1377" s="55" t="s">
        <v>244</v>
      </c>
      <c r="G1377" s="55" t="s">
        <v>393</v>
      </c>
      <c r="H1377" s="50" t="s">
        <v>2734</v>
      </c>
    </row>
    <row r="1378" spans="3:8" x14ac:dyDescent="0.2">
      <c r="C1378" s="195">
        <v>44615</v>
      </c>
      <c r="D1378" s="55">
        <v>280</v>
      </c>
      <c r="E1378" s="55" t="s">
        <v>2735</v>
      </c>
      <c r="F1378" s="55" t="s">
        <v>272</v>
      </c>
      <c r="G1378" s="55" t="s">
        <v>1040</v>
      </c>
      <c r="H1378" s="50" t="s">
        <v>224</v>
      </c>
    </row>
    <row r="1379" spans="3:8" x14ac:dyDescent="0.2">
      <c r="C1379" s="195">
        <v>44615</v>
      </c>
      <c r="D1379" s="55">
        <v>260</v>
      </c>
      <c r="E1379" s="55" t="s">
        <v>2736</v>
      </c>
      <c r="F1379" s="55" t="s">
        <v>390</v>
      </c>
      <c r="G1379" s="55" t="s">
        <v>870</v>
      </c>
      <c r="H1379" s="50" t="s">
        <v>2737</v>
      </c>
    </row>
    <row r="1380" spans="3:8" x14ac:dyDescent="0.2">
      <c r="C1380" s="195">
        <v>44613</v>
      </c>
      <c r="D1380" s="55">
        <v>280</v>
      </c>
      <c r="E1380" s="55" t="s">
        <v>2738</v>
      </c>
      <c r="F1380" s="55" t="s">
        <v>263</v>
      </c>
      <c r="G1380" s="55" t="s">
        <v>705</v>
      </c>
      <c r="H1380" s="50" t="s">
        <v>224</v>
      </c>
    </row>
    <row r="1381" spans="3:8" x14ac:dyDescent="0.2">
      <c r="C1381" s="195">
        <v>44610</v>
      </c>
      <c r="D1381" s="55">
        <v>260</v>
      </c>
      <c r="E1381" s="55" t="s">
        <v>2739</v>
      </c>
      <c r="F1381" s="55" t="s">
        <v>210</v>
      </c>
      <c r="G1381" s="55" t="s">
        <v>211</v>
      </c>
    </row>
    <row r="1382" spans="3:8" x14ac:dyDescent="0.2">
      <c r="C1382" s="195">
        <v>44613</v>
      </c>
      <c r="D1382" s="55">
        <v>260</v>
      </c>
      <c r="E1382" s="55" t="s">
        <v>2740</v>
      </c>
      <c r="F1382" s="55" t="s">
        <v>210</v>
      </c>
      <c r="G1382" s="55" t="s">
        <v>883</v>
      </c>
      <c r="H1382" s="50" t="s">
        <v>2741</v>
      </c>
    </row>
    <row r="1383" spans="3:8" x14ac:dyDescent="0.2">
      <c r="C1383" s="195">
        <v>44610</v>
      </c>
      <c r="D1383" s="55">
        <v>260</v>
      </c>
      <c r="E1383" s="55" t="s">
        <v>2742</v>
      </c>
      <c r="F1383" s="55" t="s">
        <v>390</v>
      </c>
      <c r="G1383" s="55" t="s">
        <v>870</v>
      </c>
      <c r="H1383" s="50" t="s">
        <v>2743</v>
      </c>
    </row>
    <row r="1384" spans="3:8" x14ac:dyDescent="0.2">
      <c r="C1384" s="195">
        <v>44608</v>
      </c>
      <c r="D1384" s="55">
        <v>260</v>
      </c>
      <c r="E1384" s="55" t="s">
        <v>2744</v>
      </c>
      <c r="F1384" s="55" t="s">
        <v>244</v>
      </c>
      <c r="G1384" s="55" t="s">
        <v>245</v>
      </c>
      <c r="H1384" s="50" t="s">
        <v>2745</v>
      </c>
    </row>
    <row r="1385" spans="3:8" x14ac:dyDescent="0.2">
      <c r="C1385" s="195">
        <v>44609</v>
      </c>
      <c r="D1385" s="55">
        <v>280</v>
      </c>
      <c r="E1385" s="55" t="s">
        <v>2746</v>
      </c>
      <c r="F1385" s="55" t="s">
        <v>390</v>
      </c>
      <c r="G1385" s="55" t="s">
        <v>590</v>
      </c>
      <c r="H1385" s="50" t="s">
        <v>2747</v>
      </c>
    </row>
    <row r="1386" spans="3:8" x14ac:dyDescent="0.2">
      <c r="C1386" s="195">
        <v>44601</v>
      </c>
      <c r="D1386" s="55">
        <v>260</v>
      </c>
      <c r="E1386" s="55" t="s">
        <v>2748</v>
      </c>
      <c r="F1386" s="55" t="s">
        <v>202</v>
      </c>
      <c r="G1386" s="55" t="s">
        <v>2033</v>
      </c>
      <c r="H1386" s="50" t="s">
        <v>2749</v>
      </c>
    </row>
    <row r="1387" spans="3:8" x14ac:dyDescent="0.2">
      <c r="C1387" s="195">
        <v>44620</v>
      </c>
      <c r="D1387" s="55">
        <v>260</v>
      </c>
      <c r="E1387" s="55" t="s">
        <v>2750</v>
      </c>
      <c r="F1387" s="55" t="s">
        <v>390</v>
      </c>
      <c r="G1387" s="55" t="s">
        <v>671</v>
      </c>
      <c r="H1387" s="50" t="s">
        <v>2751</v>
      </c>
    </row>
    <row r="1388" spans="3:8" x14ac:dyDescent="0.2">
      <c r="C1388" s="195">
        <v>44610</v>
      </c>
      <c r="D1388" s="55">
        <v>280</v>
      </c>
      <c r="E1388" s="55" t="s">
        <v>2752</v>
      </c>
      <c r="F1388" s="55" t="s">
        <v>291</v>
      </c>
      <c r="G1388" s="55" t="s">
        <v>607</v>
      </c>
      <c r="H1388" s="50" t="s">
        <v>2753</v>
      </c>
    </row>
    <row r="1389" spans="3:8" x14ac:dyDescent="0.2">
      <c r="C1389" s="195">
        <v>44616</v>
      </c>
      <c r="D1389" s="55">
        <v>280</v>
      </c>
      <c r="E1389" s="55" t="s">
        <v>2754</v>
      </c>
      <c r="F1389" s="55" t="s">
        <v>263</v>
      </c>
      <c r="G1389" s="55" t="s">
        <v>995</v>
      </c>
      <c r="H1389" s="50" t="s">
        <v>2755</v>
      </c>
    </row>
    <row r="1390" spans="3:8" x14ac:dyDescent="0.2">
      <c r="C1390" s="195">
        <v>44596</v>
      </c>
      <c r="D1390" s="55">
        <v>260</v>
      </c>
      <c r="E1390" s="55" t="s">
        <v>2756</v>
      </c>
      <c r="F1390" s="55" t="s">
        <v>219</v>
      </c>
      <c r="G1390" s="55" t="s">
        <v>223</v>
      </c>
      <c r="H1390" s="50" t="s">
        <v>224</v>
      </c>
    </row>
    <row r="1391" spans="3:8" x14ac:dyDescent="0.2">
      <c r="C1391" s="195">
        <v>44609</v>
      </c>
      <c r="D1391" s="55">
        <v>280</v>
      </c>
      <c r="E1391" s="55" t="s">
        <v>2757</v>
      </c>
      <c r="F1391" s="55" t="s">
        <v>267</v>
      </c>
      <c r="G1391" s="55" t="s">
        <v>708</v>
      </c>
      <c r="H1391" s="50" t="s">
        <v>224</v>
      </c>
    </row>
    <row r="1392" spans="3:8" x14ac:dyDescent="0.2">
      <c r="C1392" s="195">
        <v>44620</v>
      </c>
      <c r="D1392" s="55">
        <v>260</v>
      </c>
      <c r="E1392" s="55" t="s">
        <v>2758</v>
      </c>
      <c r="F1392" s="55" t="s">
        <v>244</v>
      </c>
      <c r="G1392" s="55" t="s">
        <v>2759</v>
      </c>
      <c r="H1392" s="50" t="s">
        <v>2760</v>
      </c>
    </row>
    <row r="1393" spans="3:8" x14ac:dyDescent="0.2">
      <c r="C1393" s="195">
        <v>44593</v>
      </c>
      <c r="D1393" s="55">
        <v>260</v>
      </c>
      <c r="E1393" s="55" t="s">
        <v>2761</v>
      </c>
      <c r="F1393" s="55" t="s">
        <v>206</v>
      </c>
      <c r="G1393" s="55" t="s">
        <v>548</v>
      </c>
      <c r="H1393" s="50" t="s">
        <v>2762</v>
      </c>
    </row>
    <row r="1394" spans="3:8" x14ac:dyDescent="0.2">
      <c r="C1394" s="195">
        <v>44609</v>
      </c>
      <c r="D1394" s="55">
        <v>260</v>
      </c>
      <c r="E1394" s="55" t="s">
        <v>2763</v>
      </c>
      <c r="F1394" s="55" t="s">
        <v>196</v>
      </c>
      <c r="G1394" s="55" t="s">
        <v>361</v>
      </c>
    </row>
    <row r="1395" spans="3:8" x14ac:dyDescent="0.2">
      <c r="C1395" s="195">
        <v>44601</v>
      </c>
      <c r="D1395" s="55">
        <v>260</v>
      </c>
      <c r="E1395" s="55" t="s">
        <v>2764</v>
      </c>
      <c r="F1395" s="55" t="s">
        <v>202</v>
      </c>
      <c r="G1395" s="55" t="s">
        <v>302</v>
      </c>
      <c r="H1395" s="50" t="s">
        <v>2765</v>
      </c>
    </row>
    <row r="1396" spans="3:8" x14ac:dyDescent="0.2">
      <c r="C1396" s="195">
        <v>44595</v>
      </c>
      <c r="D1396" s="55">
        <v>280</v>
      </c>
      <c r="E1396" s="55" t="s">
        <v>2766</v>
      </c>
      <c r="F1396" s="55" t="s">
        <v>202</v>
      </c>
      <c r="G1396" s="55" t="s">
        <v>297</v>
      </c>
      <c r="H1396" s="50" t="s">
        <v>2767</v>
      </c>
    </row>
    <row r="1397" spans="3:8" x14ac:dyDescent="0.2">
      <c r="C1397" s="195">
        <v>44617</v>
      </c>
      <c r="D1397" s="55">
        <v>280</v>
      </c>
      <c r="E1397" s="55" t="s">
        <v>2768</v>
      </c>
      <c r="F1397" s="55" t="s">
        <v>210</v>
      </c>
      <c r="G1397" s="55" t="s">
        <v>211</v>
      </c>
      <c r="H1397" s="50" t="s">
        <v>2769</v>
      </c>
    </row>
    <row r="1398" spans="3:8" x14ac:dyDescent="0.2">
      <c r="C1398" s="195">
        <v>44603</v>
      </c>
      <c r="D1398" s="55">
        <v>280</v>
      </c>
      <c r="E1398" s="55" t="s">
        <v>2770</v>
      </c>
      <c r="F1398" s="55" t="s">
        <v>210</v>
      </c>
      <c r="G1398" s="55" t="s">
        <v>508</v>
      </c>
      <c r="H1398" s="50" t="s">
        <v>2771</v>
      </c>
    </row>
    <row r="1399" spans="3:8" x14ac:dyDescent="0.2">
      <c r="C1399" s="195">
        <v>44607</v>
      </c>
      <c r="D1399" s="55">
        <v>280</v>
      </c>
      <c r="E1399" s="55" t="s">
        <v>2772</v>
      </c>
      <c r="F1399" s="55" t="s">
        <v>231</v>
      </c>
      <c r="G1399" s="55" t="s">
        <v>421</v>
      </c>
      <c r="H1399" s="50" t="s">
        <v>2773</v>
      </c>
    </row>
    <row r="1400" spans="3:8" x14ac:dyDescent="0.2">
      <c r="C1400" s="195">
        <v>44607</v>
      </c>
      <c r="D1400" s="55">
        <v>260</v>
      </c>
      <c r="E1400" s="55" t="s">
        <v>2774</v>
      </c>
      <c r="F1400" s="55" t="s">
        <v>196</v>
      </c>
      <c r="G1400" s="55" t="s">
        <v>197</v>
      </c>
      <c r="H1400" s="50" t="s">
        <v>2775</v>
      </c>
    </row>
    <row r="1401" spans="3:8" x14ac:dyDescent="0.2">
      <c r="C1401" s="195">
        <v>44607</v>
      </c>
      <c r="D1401" s="55">
        <v>260</v>
      </c>
      <c r="E1401" s="55" t="s">
        <v>2776</v>
      </c>
      <c r="F1401" s="55" t="s">
        <v>267</v>
      </c>
      <c r="G1401" s="55" t="s">
        <v>535</v>
      </c>
      <c r="H1401" s="50" t="s">
        <v>2777</v>
      </c>
    </row>
    <row r="1402" spans="3:8" x14ac:dyDescent="0.2">
      <c r="C1402" s="195">
        <v>44599</v>
      </c>
      <c r="D1402" s="55">
        <v>260</v>
      </c>
      <c r="E1402" s="55" t="s">
        <v>2778</v>
      </c>
      <c r="F1402" s="55" t="s">
        <v>231</v>
      </c>
      <c r="G1402" s="55" t="s">
        <v>371</v>
      </c>
      <c r="H1402" s="50" t="s">
        <v>2779</v>
      </c>
    </row>
    <row r="1403" spans="3:8" x14ac:dyDescent="0.2">
      <c r="C1403" s="195">
        <v>44599</v>
      </c>
      <c r="D1403" s="55">
        <v>260</v>
      </c>
      <c r="E1403" s="55" t="s">
        <v>2780</v>
      </c>
      <c r="F1403" s="55" t="s">
        <v>196</v>
      </c>
      <c r="G1403" s="55" t="s">
        <v>197</v>
      </c>
      <c r="H1403" s="50" t="s">
        <v>2781</v>
      </c>
    </row>
    <row r="1404" spans="3:8" x14ac:dyDescent="0.2">
      <c r="C1404" s="195">
        <v>44602</v>
      </c>
      <c r="D1404" s="55">
        <v>280</v>
      </c>
      <c r="E1404" s="55" t="s">
        <v>2782</v>
      </c>
      <c r="F1404" s="55" t="s">
        <v>263</v>
      </c>
      <c r="G1404" s="55" t="s">
        <v>1005</v>
      </c>
      <c r="H1404" s="50" t="s">
        <v>2783</v>
      </c>
    </row>
    <row r="1405" spans="3:8" x14ac:dyDescent="0.2">
      <c r="C1405" s="195">
        <v>44596</v>
      </c>
      <c r="D1405" s="55">
        <v>280</v>
      </c>
      <c r="E1405" s="55" t="s">
        <v>2784</v>
      </c>
      <c r="F1405" s="55" t="s">
        <v>231</v>
      </c>
      <c r="G1405" s="55" t="s">
        <v>1098</v>
      </c>
      <c r="H1405" s="50" t="s">
        <v>2785</v>
      </c>
    </row>
    <row r="1406" spans="3:8" x14ac:dyDescent="0.2">
      <c r="C1406" s="195">
        <v>44615</v>
      </c>
      <c r="D1406" s="55">
        <v>260</v>
      </c>
      <c r="E1406" s="55" t="s">
        <v>2786</v>
      </c>
      <c r="F1406" s="55" t="s">
        <v>291</v>
      </c>
      <c r="G1406" s="55" t="s">
        <v>480</v>
      </c>
      <c r="H1406" s="50" t="s">
        <v>2787</v>
      </c>
    </row>
    <row r="1407" spans="3:8" x14ac:dyDescent="0.2">
      <c r="C1407" s="195">
        <v>44608</v>
      </c>
      <c r="D1407" s="55">
        <v>280</v>
      </c>
      <c r="E1407" s="55" t="s">
        <v>2788</v>
      </c>
      <c r="F1407" s="55" t="s">
        <v>263</v>
      </c>
      <c r="G1407" s="55" t="s">
        <v>1005</v>
      </c>
      <c r="H1407" s="50" t="s">
        <v>2789</v>
      </c>
    </row>
    <row r="1408" spans="3:8" x14ac:dyDescent="0.2">
      <c r="C1408" s="195">
        <v>44594</v>
      </c>
      <c r="D1408" s="55">
        <v>280</v>
      </c>
      <c r="E1408" s="55" t="s">
        <v>2790</v>
      </c>
      <c r="F1408" s="55" t="s">
        <v>231</v>
      </c>
      <c r="G1408" s="55" t="s">
        <v>782</v>
      </c>
      <c r="H1408" s="50" t="s">
        <v>2791</v>
      </c>
    </row>
    <row r="1409" spans="3:8" x14ac:dyDescent="0.2">
      <c r="C1409" s="195">
        <v>44596</v>
      </c>
      <c r="D1409" s="55">
        <v>260</v>
      </c>
      <c r="E1409" s="55" t="s">
        <v>2792</v>
      </c>
      <c r="F1409" s="55" t="s">
        <v>192</v>
      </c>
      <c r="G1409" s="55" t="s">
        <v>258</v>
      </c>
      <c r="H1409" s="50" t="s">
        <v>2793</v>
      </c>
    </row>
    <row r="1410" spans="3:8" x14ac:dyDescent="0.2">
      <c r="C1410" s="195">
        <v>44613</v>
      </c>
      <c r="D1410" s="55">
        <v>280</v>
      </c>
      <c r="E1410" s="55" t="s">
        <v>2794</v>
      </c>
      <c r="F1410" s="55" t="s">
        <v>231</v>
      </c>
      <c r="G1410" s="55" t="s">
        <v>1098</v>
      </c>
      <c r="H1410" s="50" t="s">
        <v>224</v>
      </c>
    </row>
    <row r="1411" spans="3:8" x14ac:dyDescent="0.2">
      <c r="C1411" s="195">
        <v>44603</v>
      </c>
      <c r="D1411" s="55">
        <v>280</v>
      </c>
      <c r="E1411" s="55" t="s">
        <v>2795</v>
      </c>
      <c r="F1411" s="55" t="s">
        <v>202</v>
      </c>
      <c r="G1411" s="55" t="s">
        <v>341</v>
      </c>
      <c r="H1411" s="50" t="s">
        <v>2796</v>
      </c>
    </row>
    <row r="1412" spans="3:8" x14ac:dyDescent="0.2">
      <c r="C1412" s="195">
        <v>44614</v>
      </c>
      <c r="D1412" s="55">
        <v>260</v>
      </c>
      <c r="E1412" s="55" t="s">
        <v>2797</v>
      </c>
      <c r="F1412" s="55" t="s">
        <v>192</v>
      </c>
      <c r="G1412" s="55" t="s">
        <v>453</v>
      </c>
      <c r="H1412" s="50" t="s">
        <v>2798</v>
      </c>
    </row>
    <row r="1413" spans="3:8" x14ac:dyDescent="0.2">
      <c r="C1413" s="195">
        <v>44608</v>
      </c>
      <c r="D1413" s="55">
        <v>280</v>
      </c>
      <c r="E1413" s="55" t="s">
        <v>2799</v>
      </c>
      <c r="F1413" s="55" t="s">
        <v>244</v>
      </c>
      <c r="G1413" s="55" t="s">
        <v>393</v>
      </c>
      <c r="H1413" s="50" t="s">
        <v>2800</v>
      </c>
    </row>
    <row r="1414" spans="3:8" x14ac:dyDescent="0.2">
      <c r="C1414" s="195">
        <v>44606</v>
      </c>
      <c r="D1414" s="55">
        <v>280</v>
      </c>
      <c r="E1414" s="55" t="s">
        <v>2801</v>
      </c>
      <c r="F1414" s="55" t="s">
        <v>196</v>
      </c>
      <c r="G1414" s="55" t="s">
        <v>498</v>
      </c>
      <c r="H1414" s="50" t="s">
        <v>2802</v>
      </c>
    </row>
    <row r="1415" spans="3:8" x14ac:dyDescent="0.2">
      <c r="C1415" s="195">
        <v>44603</v>
      </c>
      <c r="D1415" s="55">
        <v>280</v>
      </c>
      <c r="E1415" s="55" t="s">
        <v>2803</v>
      </c>
      <c r="F1415" s="55" t="s">
        <v>219</v>
      </c>
      <c r="G1415" s="55" t="s">
        <v>220</v>
      </c>
      <c r="H1415" s="50" t="s">
        <v>2804</v>
      </c>
    </row>
    <row r="1416" spans="3:8" x14ac:dyDescent="0.2">
      <c r="C1416" s="195">
        <v>44599</v>
      </c>
      <c r="D1416" s="55">
        <v>280</v>
      </c>
      <c r="E1416" s="55" t="s">
        <v>2805</v>
      </c>
      <c r="F1416" s="55" t="s">
        <v>210</v>
      </c>
      <c r="G1416" s="55" t="s">
        <v>211</v>
      </c>
      <c r="H1416" s="50" t="s">
        <v>224</v>
      </c>
    </row>
    <row r="1417" spans="3:8" x14ac:dyDescent="0.2">
      <c r="C1417" s="195">
        <v>44613</v>
      </c>
      <c r="D1417" s="55">
        <v>260</v>
      </c>
      <c r="E1417" s="55" t="s">
        <v>2806</v>
      </c>
      <c r="F1417" s="55" t="s">
        <v>202</v>
      </c>
      <c r="G1417" s="55" t="s">
        <v>302</v>
      </c>
      <c r="H1417" s="50" t="s">
        <v>2807</v>
      </c>
    </row>
    <row r="1418" spans="3:8" x14ac:dyDescent="0.2">
      <c r="C1418" s="195">
        <v>44603</v>
      </c>
      <c r="D1418" s="55">
        <v>260</v>
      </c>
      <c r="E1418" s="55" t="s">
        <v>2808</v>
      </c>
      <c r="F1418" s="55" t="s">
        <v>202</v>
      </c>
      <c r="G1418" s="55" t="s">
        <v>341</v>
      </c>
      <c r="H1418" s="50" t="s">
        <v>224</v>
      </c>
    </row>
    <row r="1419" spans="3:8" x14ac:dyDescent="0.2">
      <c r="C1419" s="195">
        <v>44607</v>
      </c>
      <c r="D1419" s="55">
        <v>280</v>
      </c>
      <c r="E1419" s="55" t="s">
        <v>2809</v>
      </c>
      <c r="F1419" s="55" t="s">
        <v>196</v>
      </c>
      <c r="G1419" s="55" t="s">
        <v>349</v>
      </c>
    </row>
    <row r="1420" spans="3:8" x14ac:dyDescent="0.2">
      <c r="C1420" s="195">
        <v>44615</v>
      </c>
      <c r="D1420" s="55">
        <v>260</v>
      </c>
      <c r="E1420" s="55" t="s">
        <v>2810</v>
      </c>
      <c r="F1420" s="55" t="s">
        <v>390</v>
      </c>
      <c r="G1420" s="55" t="s">
        <v>590</v>
      </c>
      <c r="H1420" s="50" t="s">
        <v>2811</v>
      </c>
    </row>
    <row r="1421" spans="3:8" x14ac:dyDescent="0.2">
      <c r="C1421" s="195">
        <v>44614</v>
      </c>
      <c r="D1421" s="55">
        <v>280</v>
      </c>
      <c r="E1421" s="55" t="s">
        <v>2812</v>
      </c>
      <c r="F1421" s="55" t="s">
        <v>231</v>
      </c>
      <c r="G1421" s="55" t="s">
        <v>435</v>
      </c>
      <c r="H1421" s="50" t="s">
        <v>2813</v>
      </c>
    </row>
    <row r="1422" spans="3:8" x14ac:dyDescent="0.2">
      <c r="C1422" s="195">
        <v>44610</v>
      </c>
      <c r="D1422" s="55">
        <v>260</v>
      </c>
      <c r="E1422" s="55" t="s">
        <v>2814</v>
      </c>
      <c r="F1422" s="55" t="s">
        <v>390</v>
      </c>
      <c r="G1422" s="55" t="s">
        <v>870</v>
      </c>
      <c r="H1422" s="50" t="s">
        <v>2815</v>
      </c>
    </row>
    <row r="1423" spans="3:8" x14ac:dyDescent="0.2">
      <c r="C1423" s="195">
        <v>44620</v>
      </c>
      <c r="D1423" s="55">
        <v>260</v>
      </c>
      <c r="E1423" s="55" t="s">
        <v>2816</v>
      </c>
      <c r="F1423" s="55" t="s">
        <v>231</v>
      </c>
      <c r="G1423" s="55" t="s">
        <v>648</v>
      </c>
      <c r="H1423" s="50" t="s">
        <v>2817</v>
      </c>
    </row>
    <row r="1424" spans="3:8" x14ac:dyDescent="0.2">
      <c r="C1424" s="195">
        <v>44615</v>
      </c>
      <c r="D1424" s="55">
        <v>280</v>
      </c>
      <c r="E1424" s="55" t="s">
        <v>2818</v>
      </c>
      <c r="F1424" s="55" t="s">
        <v>231</v>
      </c>
      <c r="G1424" s="55" t="s">
        <v>2088</v>
      </c>
      <c r="H1424" s="50" t="s">
        <v>2819</v>
      </c>
    </row>
    <row r="1425" spans="1:9" x14ac:dyDescent="0.2">
      <c r="C1425" s="195">
        <v>44608</v>
      </c>
      <c r="D1425" s="55">
        <v>280</v>
      </c>
      <c r="E1425" s="55" t="s">
        <v>2820</v>
      </c>
      <c r="F1425" s="55" t="s">
        <v>206</v>
      </c>
      <c r="G1425" s="55" t="s">
        <v>228</v>
      </c>
      <c r="H1425" s="50" t="s">
        <v>2821</v>
      </c>
    </row>
    <row r="1426" spans="1:9" x14ac:dyDescent="0.2">
      <c r="C1426" s="195">
        <v>44608</v>
      </c>
      <c r="D1426" s="55">
        <v>280</v>
      </c>
      <c r="E1426" s="55" t="s">
        <v>2822</v>
      </c>
      <c r="F1426" s="55" t="s">
        <v>244</v>
      </c>
      <c r="G1426" s="55" t="s">
        <v>245</v>
      </c>
      <c r="H1426" s="50" t="s">
        <v>2823</v>
      </c>
    </row>
    <row r="1427" spans="1:9" x14ac:dyDescent="0.2">
      <c r="C1427" s="195">
        <v>44601</v>
      </c>
      <c r="D1427" s="55">
        <v>260</v>
      </c>
      <c r="E1427" s="55" t="s">
        <v>2824</v>
      </c>
      <c r="F1427" s="55" t="s">
        <v>192</v>
      </c>
      <c r="G1427" s="55" t="s">
        <v>258</v>
      </c>
      <c r="H1427" s="50" t="s">
        <v>2825</v>
      </c>
    </row>
    <row r="1428" spans="1:9" x14ac:dyDescent="0.2">
      <c r="C1428" s="195">
        <v>44603</v>
      </c>
      <c r="D1428" s="55">
        <v>280</v>
      </c>
      <c r="E1428" s="55" t="s">
        <v>2826</v>
      </c>
      <c r="F1428" s="55" t="s">
        <v>231</v>
      </c>
      <c r="G1428" s="55" t="s">
        <v>232</v>
      </c>
      <c r="H1428" s="50" t="s">
        <v>224</v>
      </c>
    </row>
    <row r="1429" spans="1:9" x14ac:dyDescent="0.2">
      <c r="C1429" s="195">
        <v>44596</v>
      </c>
      <c r="D1429" s="55">
        <v>280</v>
      </c>
      <c r="E1429" s="55" t="s">
        <v>2827</v>
      </c>
      <c r="F1429" s="55" t="s">
        <v>192</v>
      </c>
      <c r="G1429" s="55" t="s">
        <v>324</v>
      </c>
      <c r="H1429" s="50" t="s">
        <v>2828</v>
      </c>
    </row>
    <row r="1430" spans="1:9" x14ac:dyDescent="0.2">
      <c r="C1430" s="195">
        <v>44601</v>
      </c>
      <c r="D1430" s="55">
        <v>260</v>
      </c>
      <c r="E1430" s="55" t="s">
        <v>2829</v>
      </c>
      <c r="F1430" s="55" t="s">
        <v>206</v>
      </c>
      <c r="G1430" s="55" t="s">
        <v>758</v>
      </c>
      <c r="H1430" s="50" t="s">
        <v>2830</v>
      </c>
    </row>
    <row r="1431" spans="1:9" x14ac:dyDescent="0.2">
      <c r="A1431" s="57">
        <v>222</v>
      </c>
      <c r="B1431" t="s">
        <v>836</v>
      </c>
      <c r="C1431" s="195">
        <v>44620</v>
      </c>
      <c r="D1431" s="55">
        <v>280</v>
      </c>
      <c r="E1431" s="55" t="s">
        <v>2831</v>
      </c>
      <c r="F1431" s="55" t="s">
        <v>263</v>
      </c>
      <c r="G1431" s="55" t="s">
        <v>426</v>
      </c>
      <c r="H1431" s="50" t="s">
        <v>2832</v>
      </c>
      <c r="I1431" s="46" t="s">
        <v>837</v>
      </c>
    </row>
    <row r="1432" spans="1:9" x14ac:dyDescent="0.2">
      <c r="C1432" s="195">
        <v>44614</v>
      </c>
      <c r="D1432" s="55">
        <v>280</v>
      </c>
      <c r="E1432" s="55" t="s">
        <v>2833</v>
      </c>
      <c r="F1432" s="55" t="s">
        <v>231</v>
      </c>
      <c r="G1432" s="55" t="s">
        <v>435</v>
      </c>
      <c r="H1432" s="50" t="s">
        <v>2834</v>
      </c>
    </row>
    <row r="1433" spans="1:9" x14ac:dyDescent="0.2">
      <c r="C1433" s="195">
        <v>44613</v>
      </c>
      <c r="D1433" s="55">
        <v>260</v>
      </c>
      <c r="E1433" s="55" t="s">
        <v>2835</v>
      </c>
      <c r="F1433" s="55" t="s">
        <v>231</v>
      </c>
      <c r="G1433" s="55" t="s">
        <v>421</v>
      </c>
      <c r="H1433" s="50" t="s">
        <v>2836</v>
      </c>
    </row>
    <row r="1434" spans="1:9" x14ac:dyDescent="0.2">
      <c r="C1434" s="195">
        <v>44620</v>
      </c>
      <c r="D1434" s="55">
        <v>260</v>
      </c>
      <c r="E1434" s="55" t="s">
        <v>2837</v>
      </c>
      <c r="F1434" s="55" t="s">
        <v>244</v>
      </c>
      <c r="G1434" s="55" t="s">
        <v>315</v>
      </c>
      <c r="H1434" s="50" t="s">
        <v>2838</v>
      </c>
    </row>
    <row r="1435" spans="1:9" x14ac:dyDescent="0.2">
      <c r="C1435" s="195">
        <v>44610</v>
      </c>
      <c r="D1435" s="55">
        <v>280</v>
      </c>
      <c r="E1435" s="55" t="s">
        <v>2839</v>
      </c>
      <c r="F1435" s="55" t="s">
        <v>231</v>
      </c>
      <c r="G1435" s="55" t="s">
        <v>232</v>
      </c>
      <c r="H1435" s="50" t="s">
        <v>2840</v>
      </c>
    </row>
    <row r="1436" spans="1:9" x14ac:dyDescent="0.2">
      <c r="C1436" s="195">
        <v>44620</v>
      </c>
      <c r="D1436" s="55">
        <v>280</v>
      </c>
      <c r="E1436" s="55" t="s">
        <v>2841</v>
      </c>
      <c r="F1436" s="55" t="s">
        <v>231</v>
      </c>
      <c r="G1436" s="55" t="s">
        <v>435</v>
      </c>
      <c r="H1436" s="50" t="s">
        <v>224</v>
      </c>
    </row>
    <row r="1437" spans="1:9" x14ac:dyDescent="0.2">
      <c r="C1437" s="195">
        <v>44610</v>
      </c>
      <c r="D1437" s="55">
        <v>260</v>
      </c>
      <c r="E1437" s="55" t="s">
        <v>2842</v>
      </c>
      <c r="F1437" s="55" t="s">
        <v>210</v>
      </c>
      <c r="G1437" s="55" t="s">
        <v>383</v>
      </c>
      <c r="H1437" s="50" t="s">
        <v>2843</v>
      </c>
    </row>
    <row r="1438" spans="1:9" x14ac:dyDescent="0.2">
      <c r="C1438" s="195">
        <v>44608</v>
      </c>
      <c r="D1438" s="55">
        <v>260</v>
      </c>
      <c r="E1438" s="55" t="s">
        <v>2844</v>
      </c>
      <c r="F1438" s="55" t="s">
        <v>244</v>
      </c>
      <c r="G1438" s="55" t="s">
        <v>294</v>
      </c>
      <c r="H1438" s="50" t="s">
        <v>2845</v>
      </c>
    </row>
    <row r="1439" spans="1:9" x14ac:dyDescent="0.2">
      <c r="C1439" s="195">
        <v>44614</v>
      </c>
      <c r="D1439" s="55">
        <v>280</v>
      </c>
      <c r="E1439" s="55" t="s">
        <v>2846</v>
      </c>
      <c r="F1439" s="55" t="s">
        <v>244</v>
      </c>
      <c r="G1439" s="55" t="s">
        <v>767</v>
      </c>
    </row>
    <row r="1440" spans="1:9" x14ac:dyDescent="0.2">
      <c r="C1440" s="195">
        <v>44600</v>
      </c>
      <c r="D1440" s="55">
        <v>260</v>
      </c>
      <c r="E1440" s="55" t="s">
        <v>2847</v>
      </c>
      <c r="F1440" s="55" t="s">
        <v>272</v>
      </c>
      <c r="G1440" s="55" t="s">
        <v>1914</v>
      </c>
      <c r="H1440" s="50" t="s">
        <v>224</v>
      </c>
    </row>
    <row r="1441" spans="1:9" x14ac:dyDescent="0.2">
      <c r="C1441" s="195">
        <v>44599</v>
      </c>
      <c r="D1441" s="55">
        <v>260</v>
      </c>
      <c r="E1441" s="55" t="s">
        <v>2848</v>
      </c>
      <c r="F1441" s="55" t="s">
        <v>196</v>
      </c>
      <c r="G1441" s="55" t="s">
        <v>498</v>
      </c>
      <c r="H1441" s="50" t="s">
        <v>2849</v>
      </c>
    </row>
    <row r="1442" spans="1:9" x14ac:dyDescent="0.2">
      <c r="C1442" s="195">
        <v>44617</v>
      </c>
      <c r="D1442" s="55">
        <v>280</v>
      </c>
      <c r="E1442" s="55" t="s">
        <v>2850</v>
      </c>
      <c r="F1442" s="55" t="s">
        <v>196</v>
      </c>
      <c r="G1442" s="55" t="s">
        <v>645</v>
      </c>
      <c r="H1442" s="50" t="s">
        <v>2851</v>
      </c>
    </row>
    <row r="1443" spans="1:9" x14ac:dyDescent="0.2">
      <c r="C1443" s="195">
        <v>44610</v>
      </c>
      <c r="D1443" s="55">
        <v>260</v>
      </c>
      <c r="E1443" s="55" t="s">
        <v>2852</v>
      </c>
      <c r="F1443" s="55" t="s">
        <v>210</v>
      </c>
      <c r="G1443" s="55" t="s">
        <v>418</v>
      </c>
      <c r="H1443" s="50" t="s">
        <v>2853</v>
      </c>
    </row>
    <row r="1444" spans="1:9" x14ac:dyDescent="0.2">
      <c r="C1444" s="195">
        <v>44602</v>
      </c>
      <c r="D1444" s="55">
        <v>280</v>
      </c>
      <c r="E1444" s="55" t="s">
        <v>2854</v>
      </c>
      <c r="F1444" s="55" t="s">
        <v>196</v>
      </c>
      <c r="G1444" s="55" t="s">
        <v>464</v>
      </c>
      <c r="H1444" s="50" t="s">
        <v>2855</v>
      </c>
    </row>
    <row r="1445" spans="1:9" x14ac:dyDescent="0.2">
      <c r="C1445" s="195">
        <v>44600</v>
      </c>
      <c r="D1445" s="55">
        <v>280</v>
      </c>
      <c r="E1445" s="55" t="s">
        <v>2856</v>
      </c>
      <c r="F1445" s="55" t="s">
        <v>210</v>
      </c>
      <c r="G1445" s="55" t="s">
        <v>1095</v>
      </c>
      <c r="H1445" s="50" t="s">
        <v>2857</v>
      </c>
    </row>
    <row r="1446" spans="1:9" x14ac:dyDescent="0.2">
      <c r="C1446" s="195">
        <v>44601</v>
      </c>
      <c r="D1446" s="55">
        <v>260</v>
      </c>
      <c r="E1446" s="55" t="s">
        <v>2858</v>
      </c>
      <c r="F1446" s="55" t="s">
        <v>219</v>
      </c>
      <c r="G1446" s="55" t="s">
        <v>220</v>
      </c>
      <c r="H1446" s="50" t="s">
        <v>2859</v>
      </c>
    </row>
    <row r="1447" spans="1:9" x14ac:dyDescent="0.2">
      <c r="C1447" s="195">
        <v>44614</v>
      </c>
      <c r="D1447" s="55">
        <v>260</v>
      </c>
      <c r="E1447" s="55" t="s">
        <v>2860</v>
      </c>
      <c r="F1447" s="55" t="s">
        <v>192</v>
      </c>
      <c r="G1447" s="55" t="s">
        <v>401</v>
      </c>
      <c r="H1447" s="50" t="s">
        <v>224</v>
      </c>
    </row>
    <row r="1448" spans="1:9" x14ac:dyDescent="0.2">
      <c r="C1448" s="195">
        <v>44600</v>
      </c>
      <c r="D1448" s="55">
        <v>260</v>
      </c>
      <c r="E1448" s="55" t="s">
        <v>2861</v>
      </c>
      <c r="F1448" s="55" t="s">
        <v>231</v>
      </c>
      <c r="G1448" s="55" t="s">
        <v>421</v>
      </c>
      <c r="H1448" s="50" t="s">
        <v>224</v>
      </c>
    </row>
    <row r="1449" spans="1:9" x14ac:dyDescent="0.2">
      <c r="C1449" s="195">
        <v>44596</v>
      </c>
      <c r="D1449" s="55">
        <v>280</v>
      </c>
      <c r="E1449" s="55" t="s">
        <v>2862</v>
      </c>
      <c r="F1449" s="55" t="s">
        <v>231</v>
      </c>
      <c r="G1449" s="55" t="s">
        <v>1098</v>
      </c>
      <c r="H1449" s="50" t="s">
        <v>2863</v>
      </c>
    </row>
    <row r="1450" spans="1:9" x14ac:dyDescent="0.2">
      <c r="A1450" s="57">
        <v>222</v>
      </c>
      <c r="B1450" t="s">
        <v>836</v>
      </c>
      <c r="C1450" s="195">
        <v>44617</v>
      </c>
      <c r="D1450" s="55">
        <v>280</v>
      </c>
      <c r="E1450" s="55" t="s">
        <v>2864</v>
      </c>
      <c r="F1450" s="55" t="s">
        <v>231</v>
      </c>
      <c r="G1450" s="55" t="s">
        <v>1098</v>
      </c>
      <c r="I1450" s="46" t="s">
        <v>837</v>
      </c>
    </row>
    <row r="1451" spans="1:9" x14ac:dyDescent="0.2">
      <c r="C1451" s="195">
        <v>44614</v>
      </c>
      <c r="D1451" s="55">
        <v>280</v>
      </c>
      <c r="E1451" s="55" t="s">
        <v>2865</v>
      </c>
      <c r="F1451" s="55" t="s">
        <v>272</v>
      </c>
      <c r="G1451" s="55" t="s">
        <v>533</v>
      </c>
      <c r="H1451" s="50" t="s">
        <v>224</v>
      </c>
    </row>
    <row r="1452" spans="1:9" x14ac:dyDescent="0.2">
      <c r="C1452" s="195">
        <v>44616</v>
      </c>
      <c r="D1452" s="55">
        <v>260</v>
      </c>
      <c r="E1452" s="55" t="s">
        <v>2866</v>
      </c>
      <c r="F1452" s="55" t="s">
        <v>263</v>
      </c>
      <c r="G1452" s="55" t="s">
        <v>426</v>
      </c>
      <c r="H1452" s="50" t="s">
        <v>2867</v>
      </c>
    </row>
    <row r="1453" spans="1:9" x14ac:dyDescent="0.2">
      <c r="C1453" s="195">
        <v>44617</v>
      </c>
      <c r="D1453" s="55">
        <v>280</v>
      </c>
      <c r="E1453" s="55" t="s">
        <v>2868</v>
      </c>
      <c r="F1453" s="55" t="s">
        <v>231</v>
      </c>
      <c r="G1453" s="55" t="s">
        <v>421</v>
      </c>
      <c r="H1453" s="50" t="s">
        <v>2869</v>
      </c>
    </row>
    <row r="1454" spans="1:9" x14ac:dyDescent="0.2">
      <c r="C1454" s="195">
        <v>44616</v>
      </c>
      <c r="D1454" s="55">
        <v>260</v>
      </c>
      <c r="E1454" s="55" t="s">
        <v>2870</v>
      </c>
      <c r="F1454" s="55" t="s">
        <v>263</v>
      </c>
      <c r="G1454" s="55" t="s">
        <v>426</v>
      </c>
      <c r="H1454" s="50" t="s">
        <v>224</v>
      </c>
    </row>
    <row r="1455" spans="1:9" x14ac:dyDescent="0.2">
      <c r="C1455" s="195">
        <v>44615</v>
      </c>
      <c r="D1455" s="55">
        <v>260</v>
      </c>
      <c r="E1455" s="55" t="s">
        <v>2871</v>
      </c>
      <c r="F1455" s="55" t="s">
        <v>263</v>
      </c>
      <c r="G1455" s="55" t="s">
        <v>506</v>
      </c>
      <c r="H1455" s="50" t="s">
        <v>224</v>
      </c>
    </row>
    <row r="1456" spans="1:9" x14ac:dyDescent="0.2">
      <c r="C1456" s="195">
        <v>44614</v>
      </c>
      <c r="D1456" s="55">
        <v>280</v>
      </c>
      <c r="E1456" s="55" t="s">
        <v>2872</v>
      </c>
      <c r="F1456" s="55" t="s">
        <v>196</v>
      </c>
      <c r="G1456" s="55" t="s">
        <v>645</v>
      </c>
      <c r="H1456" s="50" t="s">
        <v>2873</v>
      </c>
    </row>
    <row r="1457" spans="1:62" x14ac:dyDescent="0.2">
      <c r="C1457" s="195">
        <v>44603</v>
      </c>
      <c r="D1457" s="55">
        <v>260</v>
      </c>
      <c r="E1457" s="55" t="s">
        <v>2874</v>
      </c>
      <c r="F1457" s="55" t="s">
        <v>210</v>
      </c>
      <c r="G1457" s="55" t="s">
        <v>1095</v>
      </c>
      <c r="H1457" s="50" t="s">
        <v>2875</v>
      </c>
    </row>
    <row r="1458" spans="1:62" x14ac:dyDescent="0.2">
      <c r="C1458" s="195">
        <v>44599</v>
      </c>
      <c r="D1458" s="55">
        <v>280</v>
      </c>
      <c r="E1458" s="55" t="s">
        <v>2876</v>
      </c>
      <c r="F1458" s="55" t="s">
        <v>196</v>
      </c>
      <c r="G1458" s="55" t="s">
        <v>498</v>
      </c>
      <c r="H1458" s="50" t="s">
        <v>2877</v>
      </c>
    </row>
    <row r="1459" spans="1:62" x14ac:dyDescent="0.2">
      <c r="C1459" s="195">
        <v>44615</v>
      </c>
      <c r="D1459" s="55">
        <v>280</v>
      </c>
      <c r="E1459" s="55" t="s">
        <v>2878</v>
      </c>
      <c r="F1459" s="55" t="s">
        <v>263</v>
      </c>
      <c r="G1459" s="55" t="s">
        <v>1113</v>
      </c>
      <c r="H1459" s="50" t="s">
        <v>2879</v>
      </c>
    </row>
    <row r="1460" spans="1:62" x14ac:dyDescent="0.2">
      <c r="C1460" s="195">
        <v>44601</v>
      </c>
      <c r="D1460" s="55">
        <v>260</v>
      </c>
      <c r="E1460" s="55" t="s">
        <v>2880</v>
      </c>
      <c r="F1460" s="55" t="s">
        <v>267</v>
      </c>
      <c r="G1460" s="55" t="s">
        <v>813</v>
      </c>
      <c r="H1460" s="50" t="s">
        <v>2881</v>
      </c>
    </row>
    <row r="1461" spans="1:62" x14ac:dyDescent="0.2">
      <c r="C1461" s="195">
        <v>44606</v>
      </c>
      <c r="D1461" s="55">
        <v>280</v>
      </c>
      <c r="E1461" s="55" t="s">
        <v>2882</v>
      </c>
      <c r="F1461" s="55" t="s">
        <v>210</v>
      </c>
      <c r="G1461" s="55" t="s">
        <v>235</v>
      </c>
      <c r="H1461" s="50" t="s">
        <v>2883</v>
      </c>
    </row>
    <row r="1462" spans="1:62" x14ac:dyDescent="0.2">
      <c r="C1462" s="195">
        <v>44609</v>
      </c>
      <c r="D1462" s="55">
        <v>260</v>
      </c>
      <c r="E1462" s="55" t="s">
        <v>2884</v>
      </c>
      <c r="F1462" s="55" t="s">
        <v>390</v>
      </c>
      <c r="G1462" s="55" t="s">
        <v>590</v>
      </c>
      <c r="H1462" s="50" t="s">
        <v>2885</v>
      </c>
    </row>
    <row r="1463" spans="1:62" x14ac:dyDescent="0.2">
      <c r="C1463" s="195">
        <v>44602</v>
      </c>
      <c r="D1463" s="55">
        <v>260</v>
      </c>
      <c r="E1463" s="55" t="s">
        <v>2886</v>
      </c>
      <c r="F1463" s="55" t="s">
        <v>219</v>
      </c>
      <c r="G1463" s="55" t="s">
        <v>220</v>
      </c>
      <c r="H1463" s="50" t="s">
        <v>2887</v>
      </c>
    </row>
    <row r="1464" spans="1:62" x14ac:dyDescent="0.2">
      <c r="C1464" s="195">
        <v>44617</v>
      </c>
      <c r="D1464" s="55">
        <v>260</v>
      </c>
      <c r="E1464" s="55" t="s">
        <v>2888</v>
      </c>
      <c r="F1464" s="55" t="s">
        <v>196</v>
      </c>
      <c r="G1464" s="55" t="s">
        <v>361</v>
      </c>
      <c r="H1464" s="50" t="s">
        <v>2889</v>
      </c>
    </row>
    <row r="1465" spans="1:62" x14ac:dyDescent="0.2">
      <c r="C1465" s="195">
        <v>44609</v>
      </c>
      <c r="D1465" s="55">
        <v>260</v>
      </c>
      <c r="E1465" s="55" t="s">
        <v>2890</v>
      </c>
      <c r="F1465" s="55" t="s">
        <v>202</v>
      </c>
      <c r="G1465" s="55" t="s">
        <v>276</v>
      </c>
      <c r="H1465" s="50" t="s">
        <v>2891</v>
      </c>
    </row>
    <row r="1466" spans="1:62" x14ac:dyDescent="0.2">
      <c r="A1466" s="57">
        <v>222</v>
      </c>
      <c r="B1466" s="162" t="s">
        <v>836</v>
      </c>
      <c r="C1466" s="195">
        <v>44594</v>
      </c>
      <c r="D1466" s="55">
        <v>260</v>
      </c>
      <c r="E1466" s="55" t="s">
        <v>2892</v>
      </c>
      <c r="F1466" s="55" t="s">
        <v>267</v>
      </c>
      <c r="G1466" s="55" t="s">
        <v>442</v>
      </c>
      <c r="I1466" s="46" t="s">
        <v>839</v>
      </c>
      <c r="J1466" s="52">
        <v>1</v>
      </c>
      <c r="K1466" s="52">
        <v>1</v>
      </c>
      <c r="O1466" s="1">
        <v>1</v>
      </c>
      <c r="S1466" s="1">
        <v>1</v>
      </c>
      <c r="W1466" s="1">
        <v>1</v>
      </c>
      <c r="AA1466" s="1">
        <v>1</v>
      </c>
      <c r="AG1466">
        <v>1</v>
      </c>
      <c r="AM1466">
        <v>1</v>
      </c>
      <c r="AN1466">
        <v>3</v>
      </c>
      <c r="AO1466">
        <v>3</v>
      </c>
      <c r="AP1466">
        <v>3</v>
      </c>
      <c r="AQ1466">
        <v>3</v>
      </c>
      <c r="AR1466">
        <v>3</v>
      </c>
      <c r="AS1466">
        <v>4</v>
      </c>
      <c r="AT1466">
        <v>1</v>
      </c>
      <c r="AU1466">
        <v>1</v>
      </c>
      <c r="AZ1466">
        <v>1</v>
      </c>
      <c r="BA1466">
        <v>1</v>
      </c>
      <c r="BB1466">
        <v>1</v>
      </c>
      <c r="BC1466">
        <v>1</v>
      </c>
      <c r="BD1466">
        <v>1</v>
      </c>
      <c r="BE1466">
        <v>1</v>
      </c>
      <c r="BJ1466">
        <v>1</v>
      </c>
    </row>
    <row r="1467" spans="1:62" x14ac:dyDescent="0.2">
      <c r="C1467" s="195">
        <v>44620</v>
      </c>
      <c r="D1467" s="55">
        <v>260</v>
      </c>
      <c r="E1467" s="55" t="s">
        <v>2893</v>
      </c>
      <c r="F1467" s="55" t="s">
        <v>390</v>
      </c>
      <c r="G1467" s="55" t="s">
        <v>1717</v>
      </c>
      <c r="H1467" s="50" t="s">
        <v>2894</v>
      </c>
    </row>
    <row r="1468" spans="1:62" x14ac:dyDescent="0.2">
      <c r="C1468" s="195">
        <v>44606</v>
      </c>
      <c r="D1468" s="55">
        <v>260</v>
      </c>
      <c r="E1468" s="55" t="s">
        <v>2895</v>
      </c>
      <c r="F1468" s="55" t="s">
        <v>192</v>
      </c>
      <c r="G1468" s="55" t="s">
        <v>487</v>
      </c>
      <c r="H1468" s="50" t="s">
        <v>2896</v>
      </c>
    </row>
    <row r="1469" spans="1:62" x14ac:dyDescent="0.2">
      <c r="C1469" s="195">
        <v>44610</v>
      </c>
      <c r="D1469" s="55">
        <v>260</v>
      </c>
      <c r="E1469" s="55" t="s">
        <v>2897</v>
      </c>
      <c r="F1469" s="55" t="s">
        <v>244</v>
      </c>
      <c r="G1469" s="55" t="s">
        <v>245</v>
      </c>
      <c r="H1469" s="50" t="s">
        <v>2898</v>
      </c>
    </row>
    <row r="1470" spans="1:62" x14ac:dyDescent="0.2">
      <c r="C1470" s="195">
        <v>44596</v>
      </c>
      <c r="D1470" s="55">
        <v>260</v>
      </c>
      <c r="E1470" s="55" t="s">
        <v>2899</v>
      </c>
      <c r="F1470" s="55" t="s">
        <v>196</v>
      </c>
      <c r="G1470" s="55" t="s">
        <v>645</v>
      </c>
      <c r="H1470" s="50" t="s">
        <v>2900</v>
      </c>
    </row>
    <row r="1471" spans="1:62" x14ac:dyDescent="0.2">
      <c r="C1471" s="195">
        <v>44596</v>
      </c>
      <c r="D1471" s="55">
        <v>280</v>
      </c>
      <c r="E1471" s="55" t="s">
        <v>2901</v>
      </c>
      <c r="F1471" s="55" t="s">
        <v>231</v>
      </c>
      <c r="G1471" s="55" t="s">
        <v>1098</v>
      </c>
      <c r="H1471" s="50" t="s">
        <v>2902</v>
      </c>
    </row>
    <row r="1472" spans="1:62" x14ac:dyDescent="0.2">
      <c r="C1472" s="195">
        <v>44620</v>
      </c>
      <c r="D1472" s="55">
        <v>280</v>
      </c>
      <c r="E1472" s="55" t="s">
        <v>2903</v>
      </c>
      <c r="F1472" s="55" t="s">
        <v>390</v>
      </c>
      <c r="G1472" s="55" t="s">
        <v>408</v>
      </c>
      <c r="H1472" s="50" t="s">
        <v>2904</v>
      </c>
    </row>
    <row r="1473" spans="1:62" x14ac:dyDescent="0.2">
      <c r="C1473" s="195">
        <v>44595</v>
      </c>
      <c r="D1473" s="55">
        <v>260</v>
      </c>
      <c r="E1473" s="55" t="s">
        <v>2905</v>
      </c>
      <c r="F1473" s="55" t="s">
        <v>390</v>
      </c>
      <c r="G1473" s="55" t="s">
        <v>870</v>
      </c>
      <c r="H1473" s="50" t="s">
        <v>2906</v>
      </c>
    </row>
    <row r="1474" spans="1:62" x14ac:dyDescent="0.2">
      <c r="C1474" s="195">
        <v>44613</v>
      </c>
      <c r="D1474" s="55">
        <v>260</v>
      </c>
      <c r="E1474" s="55" t="s">
        <v>2907</v>
      </c>
      <c r="F1474" s="55" t="s">
        <v>231</v>
      </c>
      <c r="G1474" s="55" t="s">
        <v>482</v>
      </c>
      <c r="H1474" s="50" t="s">
        <v>2200</v>
      </c>
    </row>
    <row r="1475" spans="1:62" x14ac:dyDescent="0.2">
      <c r="C1475" s="195">
        <v>44602</v>
      </c>
      <c r="D1475" s="55">
        <v>280</v>
      </c>
      <c r="E1475" s="55" t="s">
        <v>2908</v>
      </c>
      <c r="F1475" s="55" t="s">
        <v>267</v>
      </c>
      <c r="G1475" s="55" t="s">
        <v>331</v>
      </c>
      <c r="H1475" s="50" t="s">
        <v>2909</v>
      </c>
    </row>
    <row r="1476" spans="1:62" x14ac:dyDescent="0.2">
      <c r="C1476" s="195">
        <v>44602</v>
      </c>
      <c r="D1476" s="55">
        <v>280</v>
      </c>
      <c r="E1476" s="55" t="s">
        <v>2910</v>
      </c>
      <c r="F1476" s="55" t="s">
        <v>231</v>
      </c>
      <c r="G1476" s="55" t="s">
        <v>371</v>
      </c>
      <c r="H1476" s="50" t="s">
        <v>2911</v>
      </c>
    </row>
    <row r="1477" spans="1:62" x14ac:dyDescent="0.2">
      <c r="C1477" s="195">
        <v>44616</v>
      </c>
      <c r="D1477" s="55">
        <v>280</v>
      </c>
      <c r="E1477" s="55" t="s">
        <v>2912</v>
      </c>
      <c r="F1477" s="55" t="s">
        <v>390</v>
      </c>
      <c r="G1477" s="55" t="s">
        <v>870</v>
      </c>
      <c r="H1477" s="50" t="s">
        <v>2913</v>
      </c>
    </row>
    <row r="1478" spans="1:62" x14ac:dyDescent="0.2">
      <c r="C1478" s="195">
        <v>44613</v>
      </c>
      <c r="D1478" s="55">
        <v>260</v>
      </c>
      <c r="E1478" s="55" t="s">
        <v>2914</v>
      </c>
      <c r="F1478" s="55" t="s">
        <v>231</v>
      </c>
      <c r="G1478" s="55" t="s">
        <v>482</v>
      </c>
      <c r="H1478" s="50" t="s">
        <v>2915</v>
      </c>
    </row>
    <row r="1479" spans="1:62" x14ac:dyDescent="0.2">
      <c r="C1479" s="195">
        <v>44596</v>
      </c>
      <c r="D1479" s="55">
        <v>260</v>
      </c>
      <c r="E1479" s="55" t="s">
        <v>2916</v>
      </c>
      <c r="F1479" s="55" t="s">
        <v>219</v>
      </c>
      <c r="G1479" s="55" t="s">
        <v>249</v>
      </c>
      <c r="H1479" s="50" t="s">
        <v>2917</v>
      </c>
    </row>
    <row r="1480" spans="1:62" x14ac:dyDescent="0.2">
      <c r="A1480" s="57">
        <v>222</v>
      </c>
      <c r="B1480" s="162" t="s">
        <v>836</v>
      </c>
      <c r="C1480" s="195">
        <v>44609</v>
      </c>
      <c r="D1480" s="55">
        <v>260</v>
      </c>
      <c r="E1480" s="55" t="s">
        <v>2918</v>
      </c>
      <c r="F1480" s="55" t="s">
        <v>272</v>
      </c>
      <c r="G1480" s="55" t="s">
        <v>683</v>
      </c>
      <c r="H1480" s="50" t="s">
        <v>224</v>
      </c>
      <c r="I1480" s="46" t="s">
        <v>839</v>
      </c>
      <c r="J1480" s="52">
        <v>1</v>
      </c>
      <c r="K1480" s="52">
        <v>1</v>
      </c>
      <c r="O1480" s="1">
        <v>1</v>
      </c>
      <c r="S1480" s="1">
        <v>1</v>
      </c>
      <c r="W1480" s="1">
        <v>1</v>
      </c>
      <c r="AA1480" s="1">
        <v>1</v>
      </c>
      <c r="AG1480">
        <v>1</v>
      </c>
      <c r="AM1480">
        <v>5</v>
      </c>
      <c r="AS1480">
        <v>5</v>
      </c>
      <c r="AT1480">
        <v>5</v>
      </c>
      <c r="AU1480">
        <v>5</v>
      </c>
      <c r="AZ1480">
        <v>5</v>
      </c>
      <c r="BA1480">
        <v>4</v>
      </c>
      <c r="BB1480">
        <v>4</v>
      </c>
      <c r="BC1480">
        <v>4</v>
      </c>
      <c r="BD1480">
        <v>4</v>
      </c>
      <c r="BE1480">
        <v>5</v>
      </c>
      <c r="BJ1480">
        <v>1</v>
      </c>
    </row>
    <row r="1481" spans="1:62" x14ac:dyDescent="0.2">
      <c r="C1481" s="195">
        <v>44599</v>
      </c>
      <c r="D1481" s="55">
        <v>280</v>
      </c>
      <c r="E1481" s="55" t="s">
        <v>2919</v>
      </c>
      <c r="F1481" s="55" t="s">
        <v>263</v>
      </c>
      <c r="G1481" s="55" t="s">
        <v>579</v>
      </c>
      <c r="H1481" s="50" t="s">
        <v>2881</v>
      </c>
    </row>
    <row r="1482" spans="1:62" x14ac:dyDescent="0.2">
      <c r="C1482" s="195">
        <v>44616</v>
      </c>
      <c r="D1482" s="55">
        <v>280</v>
      </c>
      <c r="E1482" s="55" t="s">
        <v>2920</v>
      </c>
      <c r="F1482" s="55" t="s">
        <v>291</v>
      </c>
      <c r="G1482" s="55" t="s">
        <v>480</v>
      </c>
      <c r="H1482" s="50" t="s">
        <v>2921</v>
      </c>
    </row>
    <row r="1483" spans="1:62" x14ac:dyDescent="0.2">
      <c r="C1483" s="195">
        <v>44607</v>
      </c>
      <c r="D1483" s="55">
        <v>280</v>
      </c>
      <c r="E1483" s="55" t="s">
        <v>2922</v>
      </c>
      <c r="F1483" s="55" t="s">
        <v>390</v>
      </c>
      <c r="G1483" s="55" t="s">
        <v>408</v>
      </c>
      <c r="H1483" s="50" t="s">
        <v>2923</v>
      </c>
    </row>
    <row r="1484" spans="1:62" x14ac:dyDescent="0.2">
      <c r="A1484" s="57">
        <v>222</v>
      </c>
      <c r="B1484" s="162" t="s">
        <v>836</v>
      </c>
      <c r="C1484" s="195">
        <v>44620</v>
      </c>
      <c r="D1484" s="55">
        <v>260</v>
      </c>
      <c r="E1484" s="55" t="s">
        <v>2924</v>
      </c>
      <c r="F1484" s="55" t="s">
        <v>210</v>
      </c>
      <c r="G1484" s="55" t="s">
        <v>1095</v>
      </c>
      <c r="I1484" s="46" t="s">
        <v>839</v>
      </c>
      <c r="J1484" s="52">
        <v>1</v>
      </c>
      <c r="K1484" s="52">
        <v>1</v>
      </c>
      <c r="O1484" s="1">
        <v>2</v>
      </c>
      <c r="S1484" s="1">
        <v>2</v>
      </c>
      <c r="W1484" s="1">
        <v>2</v>
      </c>
      <c r="AA1484" s="1">
        <v>2</v>
      </c>
      <c r="AG1484">
        <v>2</v>
      </c>
      <c r="AM1484">
        <v>4</v>
      </c>
      <c r="AS1484">
        <v>4</v>
      </c>
      <c r="AT1484">
        <v>1</v>
      </c>
      <c r="AU1484">
        <v>1</v>
      </c>
      <c r="AZ1484">
        <v>1</v>
      </c>
      <c r="BA1484">
        <v>1</v>
      </c>
      <c r="BB1484">
        <v>1</v>
      </c>
      <c r="BC1484">
        <v>1</v>
      </c>
      <c r="BD1484">
        <v>1</v>
      </c>
      <c r="BE1484">
        <v>1</v>
      </c>
      <c r="BJ1484">
        <v>1</v>
      </c>
    </row>
    <row r="1485" spans="1:62" x14ac:dyDescent="0.2">
      <c r="C1485" s="195">
        <v>44613</v>
      </c>
      <c r="D1485" s="55">
        <v>280</v>
      </c>
      <c r="E1485" s="55" t="s">
        <v>2925</v>
      </c>
      <c r="F1485" s="55" t="s">
        <v>267</v>
      </c>
      <c r="G1485" s="55" t="s">
        <v>331</v>
      </c>
      <c r="H1485" s="50" t="s">
        <v>2926</v>
      </c>
    </row>
    <row r="1486" spans="1:62" x14ac:dyDescent="0.2">
      <c r="C1486" s="195">
        <v>44600</v>
      </c>
      <c r="D1486" s="55">
        <v>280</v>
      </c>
      <c r="E1486" s="55" t="s">
        <v>2927</v>
      </c>
      <c r="F1486" s="55" t="s">
        <v>196</v>
      </c>
      <c r="G1486" s="55" t="s">
        <v>361</v>
      </c>
      <c r="H1486" s="50" t="s">
        <v>2928</v>
      </c>
    </row>
    <row r="1487" spans="1:62" x14ac:dyDescent="0.2">
      <c r="C1487" s="195">
        <v>44593</v>
      </c>
      <c r="D1487" s="55">
        <v>260</v>
      </c>
      <c r="E1487" s="55" t="s">
        <v>2929</v>
      </c>
      <c r="F1487" s="55" t="s">
        <v>192</v>
      </c>
      <c r="G1487" s="55" t="s">
        <v>324</v>
      </c>
      <c r="H1487" s="50" t="s">
        <v>2930</v>
      </c>
    </row>
    <row r="1488" spans="1:62" x14ac:dyDescent="0.2">
      <c r="C1488" s="195">
        <v>44599</v>
      </c>
      <c r="D1488" s="55">
        <v>280</v>
      </c>
      <c r="E1488" s="55" t="s">
        <v>2931</v>
      </c>
      <c r="F1488" s="55" t="s">
        <v>390</v>
      </c>
      <c r="G1488" s="55" t="s">
        <v>391</v>
      </c>
      <c r="H1488" s="50" t="s">
        <v>2932</v>
      </c>
    </row>
    <row r="1489" spans="1:62" x14ac:dyDescent="0.2">
      <c r="C1489" s="195">
        <v>44599</v>
      </c>
      <c r="D1489" s="55">
        <v>260</v>
      </c>
      <c r="E1489" s="55" t="s">
        <v>2933</v>
      </c>
      <c r="F1489" s="55" t="s">
        <v>206</v>
      </c>
      <c r="G1489" s="55" t="s">
        <v>338</v>
      </c>
      <c r="H1489" s="50" t="s">
        <v>2934</v>
      </c>
    </row>
    <row r="1490" spans="1:62" x14ac:dyDescent="0.2">
      <c r="A1490" s="57">
        <v>222</v>
      </c>
      <c r="B1490" s="162" t="s">
        <v>836</v>
      </c>
      <c r="C1490" s="195">
        <v>44596</v>
      </c>
      <c r="D1490" s="55">
        <v>260</v>
      </c>
      <c r="E1490" s="55" t="s">
        <v>2935</v>
      </c>
      <c r="F1490" s="55" t="s">
        <v>192</v>
      </c>
      <c r="G1490" s="55" t="s">
        <v>324</v>
      </c>
      <c r="H1490" s="50" t="s">
        <v>224</v>
      </c>
      <c r="I1490" s="46" t="s">
        <v>839</v>
      </c>
      <c r="J1490" s="52">
        <v>1</v>
      </c>
      <c r="K1490" s="52">
        <v>1</v>
      </c>
      <c r="O1490" s="1">
        <v>1</v>
      </c>
      <c r="S1490" s="1">
        <v>1</v>
      </c>
      <c r="W1490" s="1">
        <v>1</v>
      </c>
      <c r="AA1490" s="1">
        <v>1</v>
      </c>
      <c r="AG1490">
        <v>1</v>
      </c>
      <c r="AM1490">
        <v>4</v>
      </c>
      <c r="AS1490">
        <v>4</v>
      </c>
      <c r="AT1490">
        <v>1</v>
      </c>
      <c r="AU1490">
        <v>1</v>
      </c>
      <c r="AZ1490">
        <v>1</v>
      </c>
      <c r="BA1490">
        <v>1</v>
      </c>
      <c r="BB1490">
        <v>1</v>
      </c>
      <c r="BC1490">
        <v>1</v>
      </c>
      <c r="BD1490">
        <v>1</v>
      </c>
      <c r="BE1490">
        <v>1</v>
      </c>
      <c r="BJ1490">
        <v>1</v>
      </c>
    </row>
    <row r="1491" spans="1:62" x14ac:dyDescent="0.2">
      <c r="C1491" s="195">
        <v>44596</v>
      </c>
      <c r="D1491" s="55">
        <v>280</v>
      </c>
      <c r="E1491" s="55" t="s">
        <v>2936</v>
      </c>
      <c r="F1491" s="55" t="s">
        <v>219</v>
      </c>
      <c r="G1491" s="55" t="s">
        <v>223</v>
      </c>
      <c r="H1491" s="50" t="s">
        <v>2937</v>
      </c>
    </row>
    <row r="1492" spans="1:62" x14ac:dyDescent="0.2">
      <c r="C1492" s="195">
        <v>44617</v>
      </c>
      <c r="D1492" s="55">
        <v>280</v>
      </c>
      <c r="E1492" s="55" t="s">
        <v>2938</v>
      </c>
      <c r="F1492" s="55" t="s">
        <v>196</v>
      </c>
      <c r="G1492" s="55" t="s">
        <v>498</v>
      </c>
      <c r="H1492" s="50" t="s">
        <v>2939</v>
      </c>
    </row>
    <row r="1493" spans="1:62" x14ac:dyDescent="0.2">
      <c r="C1493" s="195">
        <v>44620</v>
      </c>
      <c r="D1493" s="55">
        <v>280</v>
      </c>
      <c r="E1493" s="55" t="s">
        <v>2940</v>
      </c>
      <c r="F1493" s="55" t="s">
        <v>263</v>
      </c>
      <c r="G1493" s="55" t="s">
        <v>705</v>
      </c>
      <c r="H1493" s="50" t="s">
        <v>224</v>
      </c>
    </row>
    <row r="1494" spans="1:62" x14ac:dyDescent="0.2">
      <c r="C1494" s="195">
        <v>44614</v>
      </c>
      <c r="D1494" s="55">
        <v>280</v>
      </c>
      <c r="E1494" s="55" t="s">
        <v>2941</v>
      </c>
      <c r="F1494" s="55" t="s">
        <v>244</v>
      </c>
      <c r="G1494" s="55" t="s">
        <v>294</v>
      </c>
      <c r="H1494" s="50" t="s">
        <v>2942</v>
      </c>
    </row>
    <row r="1495" spans="1:62" x14ac:dyDescent="0.2">
      <c r="C1495" s="195">
        <v>44600</v>
      </c>
      <c r="D1495" s="55">
        <v>260</v>
      </c>
      <c r="E1495" s="55" t="s">
        <v>2943</v>
      </c>
      <c r="F1495" s="55" t="s">
        <v>196</v>
      </c>
      <c r="G1495" s="55" t="s">
        <v>415</v>
      </c>
      <c r="H1495" s="50" t="s">
        <v>2944</v>
      </c>
    </row>
    <row r="1496" spans="1:62" x14ac:dyDescent="0.2">
      <c r="C1496" s="195">
        <v>44617</v>
      </c>
      <c r="D1496" s="55">
        <v>260</v>
      </c>
      <c r="E1496" s="55" t="s">
        <v>2945</v>
      </c>
      <c r="F1496" s="55" t="s">
        <v>210</v>
      </c>
      <c r="G1496" s="55" t="s">
        <v>306</v>
      </c>
      <c r="H1496" s="50" t="s">
        <v>2946</v>
      </c>
    </row>
    <row r="1497" spans="1:62" x14ac:dyDescent="0.2">
      <c r="C1497" s="195">
        <v>44596</v>
      </c>
      <c r="D1497" s="55">
        <v>280</v>
      </c>
      <c r="E1497" s="55" t="s">
        <v>2947</v>
      </c>
      <c r="F1497" s="55" t="s">
        <v>390</v>
      </c>
      <c r="G1497" s="55" t="s">
        <v>870</v>
      </c>
      <c r="H1497" s="50" t="s">
        <v>2948</v>
      </c>
    </row>
    <row r="1498" spans="1:62" x14ac:dyDescent="0.2">
      <c r="C1498" s="195">
        <v>44603</v>
      </c>
      <c r="D1498" s="55">
        <v>280</v>
      </c>
      <c r="E1498" s="55" t="s">
        <v>2949</v>
      </c>
      <c r="F1498" s="55" t="s">
        <v>390</v>
      </c>
      <c r="G1498" s="55" t="s">
        <v>2950</v>
      </c>
      <c r="H1498" s="50" t="s">
        <v>2951</v>
      </c>
    </row>
    <row r="1499" spans="1:62" x14ac:dyDescent="0.2">
      <c r="C1499" s="195">
        <v>44614</v>
      </c>
      <c r="D1499" s="55">
        <v>260</v>
      </c>
      <c r="E1499" s="55" t="s">
        <v>2952</v>
      </c>
      <c r="F1499" s="55" t="s">
        <v>210</v>
      </c>
      <c r="G1499" s="55" t="s">
        <v>235</v>
      </c>
      <c r="H1499" s="50" t="s">
        <v>2953</v>
      </c>
    </row>
    <row r="1500" spans="1:62" x14ac:dyDescent="0.2">
      <c r="C1500" s="195">
        <v>44615</v>
      </c>
      <c r="D1500" s="55">
        <v>280</v>
      </c>
      <c r="E1500" s="55" t="s">
        <v>2954</v>
      </c>
      <c r="F1500" s="55" t="s">
        <v>263</v>
      </c>
      <c r="G1500" s="55" t="s">
        <v>1005</v>
      </c>
      <c r="H1500" s="50" t="s">
        <v>2955</v>
      </c>
    </row>
    <row r="1501" spans="1:62" x14ac:dyDescent="0.2">
      <c r="C1501" s="195">
        <v>44620</v>
      </c>
      <c r="D1501" s="55">
        <v>260</v>
      </c>
      <c r="E1501" s="55" t="s">
        <v>2956</v>
      </c>
      <c r="F1501" s="55" t="s">
        <v>206</v>
      </c>
      <c r="G1501" s="55" t="s">
        <v>214</v>
      </c>
      <c r="H1501" s="50" t="s">
        <v>2957</v>
      </c>
    </row>
    <row r="1502" spans="1:62" x14ac:dyDescent="0.2">
      <c r="C1502" s="195">
        <v>44600</v>
      </c>
      <c r="D1502" s="55">
        <v>280</v>
      </c>
      <c r="E1502" s="55" t="s">
        <v>2958</v>
      </c>
      <c r="F1502" s="55" t="s">
        <v>210</v>
      </c>
      <c r="G1502" s="55" t="s">
        <v>1095</v>
      </c>
      <c r="H1502" s="50" t="s">
        <v>2959</v>
      </c>
    </row>
    <row r="1503" spans="1:62" x14ac:dyDescent="0.2">
      <c r="A1503" s="57">
        <v>222</v>
      </c>
      <c r="B1503" s="162" t="s">
        <v>836</v>
      </c>
      <c r="C1503" s="195">
        <v>44602</v>
      </c>
      <c r="D1503" s="55">
        <v>260</v>
      </c>
      <c r="E1503" s="55" t="s">
        <v>2960</v>
      </c>
      <c r="F1503" s="55" t="s">
        <v>244</v>
      </c>
      <c r="G1503" s="55" t="s">
        <v>696</v>
      </c>
      <c r="H1503" s="50" t="s">
        <v>2961</v>
      </c>
      <c r="I1503" s="46" t="s">
        <v>839</v>
      </c>
      <c r="J1503" s="52">
        <v>1</v>
      </c>
      <c r="K1503" s="52">
        <v>1</v>
      </c>
      <c r="O1503" s="1">
        <v>1</v>
      </c>
      <c r="S1503" s="1">
        <v>1</v>
      </c>
      <c r="W1503" s="1">
        <v>1</v>
      </c>
      <c r="AA1503" s="1">
        <v>1</v>
      </c>
      <c r="AG1503">
        <v>1</v>
      </c>
      <c r="AM1503">
        <v>4</v>
      </c>
      <c r="AS1503">
        <v>4</v>
      </c>
      <c r="AT1503">
        <v>1</v>
      </c>
      <c r="AU1503">
        <v>3</v>
      </c>
      <c r="AV1503">
        <v>1</v>
      </c>
      <c r="AW1503">
        <v>1</v>
      </c>
      <c r="AX1503">
        <v>1</v>
      </c>
      <c r="AY1503">
        <v>1</v>
      </c>
      <c r="AZ1503">
        <v>1</v>
      </c>
      <c r="BA1503">
        <v>1</v>
      </c>
      <c r="BB1503">
        <v>1</v>
      </c>
      <c r="BC1503">
        <v>1</v>
      </c>
      <c r="BD1503">
        <v>1</v>
      </c>
      <c r="BE1503">
        <v>1</v>
      </c>
      <c r="BJ1503">
        <v>1</v>
      </c>
    </row>
    <row r="1504" spans="1:62" x14ac:dyDescent="0.2">
      <c r="C1504" s="195">
        <v>44602</v>
      </c>
      <c r="D1504" s="55">
        <v>280</v>
      </c>
      <c r="E1504" s="55" t="s">
        <v>2962</v>
      </c>
      <c r="F1504" s="55" t="s">
        <v>263</v>
      </c>
      <c r="G1504" s="55" t="s">
        <v>633</v>
      </c>
      <c r="H1504" s="50" t="s">
        <v>2963</v>
      </c>
    </row>
    <row r="1505" spans="1:62" x14ac:dyDescent="0.2">
      <c r="C1505" s="195">
        <v>44600</v>
      </c>
      <c r="D1505" s="55">
        <v>260</v>
      </c>
      <c r="E1505" s="55" t="s">
        <v>2964</v>
      </c>
      <c r="F1505" s="55" t="s">
        <v>231</v>
      </c>
      <c r="G1505" s="55" t="s">
        <v>648</v>
      </c>
      <c r="H1505" s="50" t="s">
        <v>2965</v>
      </c>
    </row>
    <row r="1506" spans="1:62" x14ac:dyDescent="0.2">
      <c r="C1506" s="195">
        <v>44599</v>
      </c>
      <c r="D1506" s="55">
        <v>280</v>
      </c>
      <c r="E1506" s="55" t="s">
        <v>2966</v>
      </c>
      <c r="F1506" s="55" t="s">
        <v>231</v>
      </c>
      <c r="G1506" s="55" t="s">
        <v>371</v>
      </c>
      <c r="H1506" s="50" t="s">
        <v>2967</v>
      </c>
    </row>
    <row r="1507" spans="1:62" x14ac:dyDescent="0.2">
      <c r="C1507" s="195">
        <v>44607</v>
      </c>
      <c r="D1507" s="55">
        <v>280</v>
      </c>
      <c r="E1507" s="55" t="s">
        <v>2968</v>
      </c>
      <c r="F1507" s="55" t="s">
        <v>192</v>
      </c>
      <c r="G1507" s="55" t="s">
        <v>487</v>
      </c>
      <c r="H1507" s="50" t="s">
        <v>224</v>
      </c>
    </row>
    <row r="1508" spans="1:62" x14ac:dyDescent="0.2">
      <c r="C1508" s="195">
        <v>44600</v>
      </c>
      <c r="D1508" s="55">
        <v>260</v>
      </c>
      <c r="E1508" s="55" t="s">
        <v>2969</v>
      </c>
      <c r="F1508" s="55" t="s">
        <v>206</v>
      </c>
      <c r="G1508" s="55" t="s">
        <v>758</v>
      </c>
      <c r="H1508" s="50" t="s">
        <v>2970</v>
      </c>
    </row>
    <row r="1509" spans="1:62" x14ac:dyDescent="0.2">
      <c r="C1509" s="195">
        <v>44608</v>
      </c>
      <c r="D1509" s="55">
        <v>280</v>
      </c>
      <c r="E1509" s="55" t="s">
        <v>2971</v>
      </c>
      <c r="F1509" s="55" t="s">
        <v>244</v>
      </c>
      <c r="G1509" s="55" t="s">
        <v>393</v>
      </c>
      <c r="H1509" s="50" t="s">
        <v>2972</v>
      </c>
    </row>
    <row r="1510" spans="1:62" x14ac:dyDescent="0.2">
      <c r="A1510" s="57">
        <v>222</v>
      </c>
      <c r="B1510" s="162" t="s">
        <v>836</v>
      </c>
      <c r="C1510" s="195">
        <v>44617</v>
      </c>
      <c r="D1510" s="55">
        <v>260</v>
      </c>
      <c r="E1510" s="55" t="s">
        <v>2973</v>
      </c>
      <c r="F1510" s="55" t="s">
        <v>390</v>
      </c>
      <c r="G1510" s="55" t="s">
        <v>490</v>
      </c>
      <c r="H1510" s="50" t="s">
        <v>224</v>
      </c>
      <c r="I1510" s="46" t="s">
        <v>839</v>
      </c>
      <c r="J1510" s="52">
        <v>1</v>
      </c>
      <c r="K1510" s="52">
        <v>1</v>
      </c>
      <c r="O1510" s="1">
        <v>1</v>
      </c>
      <c r="S1510" s="1">
        <v>1</v>
      </c>
      <c r="W1510" s="1">
        <v>1</v>
      </c>
      <c r="AA1510" s="1">
        <v>1</v>
      </c>
      <c r="AG1510">
        <v>1</v>
      </c>
      <c r="AM1510">
        <v>5</v>
      </c>
      <c r="AS1510">
        <v>5</v>
      </c>
      <c r="AT1510">
        <v>5</v>
      </c>
      <c r="AU1510">
        <v>5</v>
      </c>
      <c r="AZ1510">
        <v>1</v>
      </c>
      <c r="BA1510">
        <v>4</v>
      </c>
      <c r="BB1510">
        <v>4</v>
      </c>
      <c r="BC1510">
        <v>4</v>
      </c>
      <c r="BD1510">
        <v>4</v>
      </c>
      <c r="BE1510">
        <v>1</v>
      </c>
      <c r="BJ1510">
        <v>1</v>
      </c>
    </row>
    <row r="1511" spans="1:62" x14ac:dyDescent="0.2">
      <c r="C1511" s="195">
        <v>44620</v>
      </c>
      <c r="D1511" s="55">
        <v>280</v>
      </c>
      <c r="E1511" s="55" t="s">
        <v>2974</v>
      </c>
      <c r="F1511" s="55" t="s">
        <v>390</v>
      </c>
      <c r="G1511" s="55" t="s">
        <v>671</v>
      </c>
      <c r="H1511" s="50" t="s">
        <v>2975</v>
      </c>
    </row>
    <row r="1512" spans="1:62" x14ac:dyDescent="0.2">
      <c r="C1512" s="195">
        <v>44607</v>
      </c>
      <c r="D1512" s="55">
        <v>280</v>
      </c>
      <c r="E1512" s="55" t="s">
        <v>2976</v>
      </c>
      <c r="F1512" s="55" t="s">
        <v>291</v>
      </c>
      <c r="G1512" s="55" t="s">
        <v>1247</v>
      </c>
      <c r="H1512" s="50" t="s">
        <v>2977</v>
      </c>
    </row>
    <row r="1513" spans="1:62" x14ac:dyDescent="0.2">
      <c r="C1513" s="195">
        <v>44614</v>
      </c>
      <c r="D1513" s="55">
        <v>280</v>
      </c>
      <c r="E1513" s="55" t="s">
        <v>2978</v>
      </c>
      <c r="F1513" s="55" t="s">
        <v>231</v>
      </c>
      <c r="G1513" s="55" t="s">
        <v>435</v>
      </c>
      <c r="H1513" s="50" t="s">
        <v>2979</v>
      </c>
    </row>
    <row r="1514" spans="1:62" x14ac:dyDescent="0.2">
      <c r="C1514" s="195">
        <v>44609</v>
      </c>
      <c r="D1514" s="55">
        <v>260</v>
      </c>
      <c r="E1514" s="55" t="s">
        <v>2980</v>
      </c>
      <c r="F1514" s="55" t="s">
        <v>196</v>
      </c>
      <c r="G1514" s="55" t="s">
        <v>361</v>
      </c>
      <c r="H1514" s="50" t="s">
        <v>224</v>
      </c>
    </row>
    <row r="1515" spans="1:62" x14ac:dyDescent="0.2">
      <c r="C1515" s="195">
        <v>44601</v>
      </c>
      <c r="D1515" s="55">
        <v>260</v>
      </c>
      <c r="E1515" s="55" t="s">
        <v>2981</v>
      </c>
      <c r="F1515" s="55" t="s">
        <v>206</v>
      </c>
      <c r="G1515" s="55" t="s">
        <v>758</v>
      </c>
      <c r="H1515" s="50" t="s">
        <v>2982</v>
      </c>
    </row>
    <row r="1516" spans="1:62" x14ac:dyDescent="0.2">
      <c r="C1516" s="195">
        <v>44607</v>
      </c>
      <c r="D1516" s="55">
        <v>280</v>
      </c>
      <c r="E1516" s="55" t="s">
        <v>2983</v>
      </c>
      <c r="F1516" s="55" t="s">
        <v>206</v>
      </c>
      <c r="G1516" s="55" t="s">
        <v>207</v>
      </c>
      <c r="H1516" s="50" t="s">
        <v>224</v>
      </c>
    </row>
    <row r="1517" spans="1:62" x14ac:dyDescent="0.2">
      <c r="C1517" s="195">
        <v>44617</v>
      </c>
      <c r="D1517" s="55">
        <v>260</v>
      </c>
      <c r="E1517" s="55" t="s">
        <v>2984</v>
      </c>
      <c r="F1517" s="55" t="s">
        <v>202</v>
      </c>
      <c r="G1517" s="55" t="s">
        <v>321</v>
      </c>
      <c r="H1517" s="50" t="s">
        <v>2985</v>
      </c>
    </row>
    <row r="1518" spans="1:62" x14ac:dyDescent="0.2">
      <c r="C1518" s="195">
        <v>44613</v>
      </c>
      <c r="D1518" s="55">
        <v>260</v>
      </c>
      <c r="E1518" s="55" t="s">
        <v>2986</v>
      </c>
      <c r="F1518" s="55" t="s">
        <v>231</v>
      </c>
      <c r="G1518" s="55" t="s">
        <v>482</v>
      </c>
      <c r="H1518" s="50" t="s">
        <v>2987</v>
      </c>
    </row>
    <row r="1519" spans="1:62" x14ac:dyDescent="0.2">
      <c r="C1519" s="195">
        <v>44617</v>
      </c>
      <c r="D1519" s="55">
        <v>280</v>
      </c>
      <c r="E1519" s="55" t="s">
        <v>2988</v>
      </c>
      <c r="F1519" s="55" t="s">
        <v>192</v>
      </c>
      <c r="G1519" s="55" t="s">
        <v>258</v>
      </c>
      <c r="H1519" s="50" t="s">
        <v>2989</v>
      </c>
    </row>
    <row r="1520" spans="1:62" x14ac:dyDescent="0.2">
      <c r="C1520" s="195">
        <v>44595</v>
      </c>
      <c r="D1520" s="55">
        <v>260</v>
      </c>
      <c r="E1520" s="55" t="s">
        <v>2990</v>
      </c>
      <c r="F1520" s="55" t="s">
        <v>390</v>
      </c>
      <c r="G1520" s="55" t="s">
        <v>490</v>
      </c>
      <c r="H1520" s="50" t="s">
        <v>2991</v>
      </c>
    </row>
    <row r="1521" spans="1:9" x14ac:dyDescent="0.2">
      <c r="C1521" s="195">
        <v>44615</v>
      </c>
      <c r="D1521" s="55">
        <v>280</v>
      </c>
      <c r="E1521" s="55" t="s">
        <v>2992</v>
      </c>
      <c r="F1521" s="55" t="s">
        <v>206</v>
      </c>
      <c r="G1521" s="55" t="s">
        <v>228</v>
      </c>
      <c r="H1521" s="50" t="s">
        <v>2993</v>
      </c>
    </row>
    <row r="1522" spans="1:9" x14ac:dyDescent="0.2">
      <c r="C1522" s="195">
        <v>44607</v>
      </c>
      <c r="D1522" s="55">
        <v>280</v>
      </c>
      <c r="E1522" s="55" t="s">
        <v>2994</v>
      </c>
      <c r="F1522" s="55" t="s">
        <v>272</v>
      </c>
      <c r="G1522" s="55" t="s">
        <v>683</v>
      </c>
      <c r="H1522" s="50" t="s">
        <v>2995</v>
      </c>
    </row>
    <row r="1523" spans="1:9" x14ac:dyDescent="0.2">
      <c r="C1523" s="195">
        <v>44610</v>
      </c>
      <c r="D1523" s="55">
        <v>260</v>
      </c>
      <c r="E1523" s="55" t="s">
        <v>2996</v>
      </c>
      <c r="F1523" s="55" t="s">
        <v>272</v>
      </c>
      <c r="G1523" s="55" t="s">
        <v>1914</v>
      </c>
      <c r="H1523" s="50" t="s">
        <v>2997</v>
      </c>
    </row>
    <row r="1524" spans="1:9" x14ac:dyDescent="0.2">
      <c r="C1524" s="195">
        <v>44599</v>
      </c>
      <c r="D1524" s="55">
        <v>260</v>
      </c>
      <c r="E1524" s="55" t="s">
        <v>2998</v>
      </c>
      <c r="F1524" s="55" t="s">
        <v>219</v>
      </c>
      <c r="G1524" s="55" t="s">
        <v>1732</v>
      </c>
      <c r="H1524" s="50" t="s">
        <v>2999</v>
      </c>
    </row>
    <row r="1525" spans="1:9" x14ac:dyDescent="0.2">
      <c r="C1525" s="195">
        <v>44614</v>
      </c>
      <c r="D1525" s="55">
        <v>280</v>
      </c>
      <c r="E1525" s="55" t="s">
        <v>3000</v>
      </c>
      <c r="F1525" s="55" t="s">
        <v>263</v>
      </c>
      <c r="G1525" s="55" t="s">
        <v>892</v>
      </c>
      <c r="H1525" s="50" t="s">
        <v>3001</v>
      </c>
    </row>
    <row r="1526" spans="1:9" x14ac:dyDescent="0.2">
      <c r="A1526" s="57">
        <v>222</v>
      </c>
      <c r="B1526" t="s">
        <v>836</v>
      </c>
      <c r="C1526" s="195">
        <v>44601</v>
      </c>
      <c r="D1526" s="55">
        <v>260</v>
      </c>
      <c r="E1526" s="55" t="s">
        <v>3002</v>
      </c>
      <c r="F1526" s="55" t="s">
        <v>272</v>
      </c>
      <c r="G1526" s="55" t="s">
        <v>683</v>
      </c>
      <c r="H1526" s="50" t="s">
        <v>3003</v>
      </c>
      <c r="I1526" s="46" t="s">
        <v>837</v>
      </c>
    </row>
    <row r="1527" spans="1:9" x14ac:dyDescent="0.2">
      <c r="C1527" s="195">
        <v>44596</v>
      </c>
      <c r="D1527" s="55">
        <v>280</v>
      </c>
      <c r="E1527" s="55" t="s">
        <v>3004</v>
      </c>
      <c r="F1527" s="55" t="s">
        <v>219</v>
      </c>
      <c r="G1527" s="55" t="s">
        <v>540</v>
      </c>
      <c r="H1527" s="50" t="s">
        <v>224</v>
      </c>
    </row>
    <row r="1528" spans="1:9" x14ac:dyDescent="0.2">
      <c r="C1528" s="195">
        <v>44596</v>
      </c>
      <c r="D1528" s="55">
        <v>260</v>
      </c>
      <c r="E1528" s="55" t="s">
        <v>3005</v>
      </c>
      <c r="F1528" s="55" t="s">
        <v>390</v>
      </c>
      <c r="G1528" s="55" t="s">
        <v>490</v>
      </c>
      <c r="H1528" s="50" t="s">
        <v>3006</v>
      </c>
    </row>
    <row r="1529" spans="1:9" x14ac:dyDescent="0.2">
      <c r="C1529" s="195">
        <v>44607</v>
      </c>
      <c r="D1529" s="55">
        <v>280</v>
      </c>
      <c r="E1529" s="55" t="s">
        <v>3007</v>
      </c>
      <c r="F1529" s="55" t="s">
        <v>231</v>
      </c>
      <c r="G1529" s="55" t="s">
        <v>371</v>
      </c>
      <c r="H1529" s="50" t="s">
        <v>3008</v>
      </c>
    </row>
    <row r="1530" spans="1:9" x14ac:dyDescent="0.2">
      <c r="C1530" s="195">
        <v>44613</v>
      </c>
      <c r="D1530" s="55">
        <v>280</v>
      </c>
      <c r="E1530" s="55" t="s">
        <v>3009</v>
      </c>
      <c r="F1530" s="55" t="s">
        <v>210</v>
      </c>
      <c r="G1530" s="55" t="s">
        <v>883</v>
      </c>
      <c r="H1530" s="50" t="s">
        <v>3010</v>
      </c>
    </row>
    <row r="1531" spans="1:9" x14ac:dyDescent="0.2">
      <c r="C1531" s="195">
        <v>44594</v>
      </c>
      <c r="D1531" s="55">
        <v>260</v>
      </c>
      <c r="E1531" s="55" t="s">
        <v>3011</v>
      </c>
      <c r="F1531" s="55" t="s">
        <v>267</v>
      </c>
      <c r="G1531" s="55" t="s">
        <v>442</v>
      </c>
      <c r="H1531" s="50" t="s">
        <v>3012</v>
      </c>
    </row>
    <row r="1532" spans="1:9" x14ac:dyDescent="0.2">
      <c r="C1532" s="195">
        <v>44616</v>
      </c>
      <c r="D1532" s="55">
        <v>280</v>
      </c>
      <c r="E1532" s="55" t="s">
        <v>3013</v>
      </c>
      <c r="F1532" s="55" t="s">
        <v>202</v>
      </c>
      <c r="G1532" s="55" t="s">
        <v>302</v>
      </c>
      <c r="H1532" s="50" t="s">
        <v>224</v>
      </c>
    </row>
    <row r="1533" spans="1:9" x14ac:dyDescent="0.2">
      <c r="C1533" s="195">
        <v>44600</v>
      </c>
      <c r="D1533" s="55">
        <v>260</v>
      </c>
      <c r="E1533" s="55" t="s">
        <v>3014</v>
      </c>
      <c r="F1533" s="55" t="s">
        <v>196</v>
      </c>
      <c r="G1533" s="55" t="s">
        <v>197</v>
      </c>
      <c r="H1533" s="50" t="s">
        <v>3015</v>
      </c>
    </row>
    <row r="1534" spans="1:9" x14ac:dyDescent="0.2">
      <c r="C1534" s="195">
        <v>44610</v>
      </c>
      <c r="D1534" s="55">
        <v>260</v>
      </c>
      <c r="E1534" s="55" t="s">
        <v>3016</v>
      </c>
      <c r="F1534" s="55" t="s">
        <v>390</v>
      </c>
      <c r="G1534" s="55" t="s">
        <v>490</v>
      </c>
      <c r="H1534" s="50" t="s">
        <v>3017</v>
      </c>
    </row>
    <row r="1535" spans="1:9" x14ac:dyDescent="0.2">
      <c r="C1535" s="195">
        <v>44617</v>
      </c>
      <c r="D1535" s="55">
        <v>280</v>
      </c>
      <c r="E1535" s="55" t="s">
        <v>3018</v>
      </c>
      <c r="F1535" s="55" t="s">
        <v>196</v>
      </c>
      <c r="G1535" s="55" t="s">
        <v>361</v>
      </c>
      <c r="H1535" s="50" t="s">
        <v>3019</v>
      </c>
    </row>
    <row r="1536" spans="1:9" x14ac:dyDescent="0.2">
      <c r="C1536" s="195">
        <v>44601</v>
      </c>
      <c r="D1536" s="55">
        <v>280</v>
      </c>
      <c r="E1536" s="55" t="s">
        <v>3020</v>
      </c>
      <c r="F1536" s="55" t="s">
        <v>231</v>
      </c>
      <c r="G1536" s="55" t="s">
        <v>371</v>
      </c>
      <c r="H1536" s="50" t="s">
        <v>3021</v>
      </c>
    </row>
    <row r="1537" spans="3:8" x14ac:dyDescent="0.2">
      <c r="C1537" s="195">
        <v>44609</v>
      </c>
      <c r="D1537" s="55">
        <v>260</v>
      </c>
      <c r="E1537" s="55" t="s">
        <v>3022</v>
      </c>
      <c r="F1537" s="55" t="s">
        <v>202</v>
      </c>
      <c r="G1537" s="55" t="s">
        <v>276</v>
      </c>
      <c r="H1537" s="50" t="s">
        <v>3023</v>
      </c>
    </row>
    <row r="1538" spans="3:8" x14ac:dyDescent="0.2">
      <c r="C1538" s="195">
        <v>44599</v>
      </c>
      <c r="D1538" s="55">
        <v>280</v>
      </c>
      <c r="E1538" s="55" t="s">
        <v>3024</v>
      </c>
      <c r="F1538" s="55" t="s">
        <v>231</v>
      </c>
      <c r="G1538" s="55" t="s">
        <v>2088</v>
      </c>
      <c r="H1538" s="50" t="s">
        <v>3025</v>
      </c>
    </row>
    <row r="1539" spans="3:8" x14ac:dyDescent="0.2">
      <c r="C1539" s="195">
        <v>44615</v>
      </c>
      <c r="D1539" s="55">
        <v>260</v>
      </c>
      <c r="E1539" s="55" t="s">
        <v>3026</v>
      </c>
      <c r="F1539" s="55" t="s">
        <v>202</v>
      </c>
      <c r="G1539" s="55" t="s">
        <v>1146</v>
      </c>
      <c r="H1539" s="50" t="s">
        <v>3027</v>
      </c>
    </row>
    <row r="1540" spans="3:8" x14ac:dyDescent="0.2">
      <c r="C1540" s="195">
        <v>44596</v>
      </c>
      <c r="D1540" s="55">
        <v>280</v>
      </c>
      <c r="E1540" s="55" t="s">
        <v>3028</v>
      </c>
      <c r="F1540" s="55" t="s">
        <v>390</v>
      </c>
      <c r="G1540" s="55" t="s">
        <v>490</v>
      </c>
      <c r="H1540" s="50" t="s">
        <v>3029</v>
      </c>
    </row>
    <row r="1541" spans="3:8" x14ac:dyDescent="0.2">
      <c r="C1541" s="195">
        <v>44617</v>
      </c>
      <c r="D1541" s="55">
        <v>280</v>
      </c>
      <c r="E1541" s="55" t="s">
        <v>3030</v>
      </c>
      <c r="F1541" s="55" t="s">
        <v>196</v>
      </c>
      <c r="G1541" s="55" t="s">
        <v>415</v>
      </c>
      <c r="H1541" s="50" t="s">
        <v>224</v>
      </c>
    </row>
    <row r="1542" spans="3:8" x14ac:dyDescent="0.2">
      <c r="C1542" s="195">
        <v>44595</v>
      </c>
      <c r="D1542" s="55">
        <v>260</v>
      </c>
      <c r="E1542" s="55" t="s">
        <v>3031</v>
      </c>
      <c r="F1542" s="55" t="s">
        <v>231</v>
      </c>
      <c r="G1542" s="55" t="s">
        <v>648</v>
      </c>
      <c r="H1542" s="50" t="s">
        <v>3032</v>
      </c>
    </row>
    <row r="1543" spans="3:8" x14ac:dyDescent="0.2">
      <c r="C1543" s="195">
        <v>44594</v>
      </c>
      <c r="D1543" s="55">
        <v>260</v>
      </c>
      <c r="E1543" s="55" t="s">
        <v>3033</v>
      </c>
      <c r="F1543" s="55" t="s">
        <v>267</v>
      </c>
      <c r="G1543" s="55" t="s">
        <v>442</v>
      </c>
      <c r="H1543" s="50" t="s">
        <v>3034</v>
      </c>
    </row>
    <row r="1544" spans="3:8" x14ac:dyDescent="0.2">
      <c r="C1544" s="195">
        <v>44608</v>
      </c>
      <c r="D1544" s="55">
        <v>260</v>
      </c>
      <c r="E1544" s="55" t="s">
        <v>3035</v>
      </c>
      <c r="F1544" s="55" t="s">
        <v>244</v>
      </c>
      <c r="G1544" s="55" t="s">
        <v>393</v>
      </c>
      <c r="H1544" s="50" t="s">
        <v>224</v>
      </c>
    </row>
    <row r="1545" spans="3:8" x14ac:dyDescent="0.2">
      <c r="C1545" s="195">
        <v>44637</v>
      </c>
      <c r="D1545" s="55">
        <v>260</v>
      </c>
      <c r="E1545" s="55" t="s">
        <v>3036</v>
      </c>
      <c r="F1545" s="55" t="s">
        <v>196</v>
      </c>
      <c r="G1545" s="55" t="s">
        <v>361</v>
      </c>
      <c r="H1545" s="50" t="s">
        <v>3037</v>
      </c>
    </row>
    <row r="1546" spans="3:8" x14ac:dyDescent="0.2">
      <c r="C1546" s="195">
        <v>44622</v>
      </c>
      <c r="D1546" s="55">
        <v>280</v>
      </c>
      <c r="E1546" s="55" t="s">
        <v>3038</v>
      </c>
      <c r="F1546" s="55" t="s">
        <v>244</v>
      </c>
      <c r="G1546" s="55" t="s">
        <v>767</v>
      </c>
      <c r="H1546" s="50" t="s">
        <v>3039</v>
      </c>
    </row>
    <row r="1547" spans="3:8" x14ac:dyDescent="0.2">
      <c r="C1547" s="195">
        <v>44651</v>
      </c>
      <c r="D1547" s="55">
        <v>260</v>
      </c>
      <c r="E1547" s="55" t="s">
        <v>3040</v>
      </c>
      <c r="F1547" s="55" t="s">
        <v>291</v>
      </c>
      <c r="G1547" s="55" t="s">
        <v>1215</v>
      </c>
      <c r="H1547" s="50" t="s">
        <v>224</v>
      </c>
    </row>
    <row r="1548" spans="3:8" x14ac:dyDescent="0.2">
      <c r="C1548" s="195">
        <v>44651</v>
      </c>
      <c r="D1548" s="55">
        <v>260</v>
      </c>
      <c r="E1548" s="55" t="s">
        <v>3041</v>
      </c>
      <c r="F1548" s="55" t="s">
        <v>291</v>
      </c>
      <c r="G1548" s="55" t="s">
        <v>1215</v>
      </c>
      <c r="H1548" s="50" t="s">
        <v>3042</v>
      </c>
    </row>
    <row r="1549" spans="3:8" x14ac:dyDescent="0.2">
      <c r="C1549" s="195">
        <v>44651</v>
      </c>
      <c r="D1549" s="55">
        <v>280</v>
      </c>
      <c r="E1549" s="55" t="s">
        <v>3043</v>
      </c>
      <c r="F1549" s="55" t="s">
        <v>219</v>
      </c>
      <c r="G1549" s="55" t="s">
        <v>1732</v>
      </c>
      <c r="H1549" s="50" t="s">
        <v>3044</v>
      </c>
    </row>
    <row r="1550" spans="3:8" x14ac:dyDescent="0.2">
      <c r="C1550" s="195">
        <v>44621</v>
      </c>
      <c r="D1550" s="55">
        <v>260</v>
      </c>
      <c r="E1550" s="55" t="s">
        <v>3045</v>
      </c>
      <c r="F1550" s="55" t="s">
        <v>196</v>
      </c>
      <c r="G1550" s="55" t="s">
        <v>557</v>
      </c>
      <c r="H1550" s="50" t="s">
        <v>3046</v>
      </c>
    </row>
    <row r="1551" spans="3:8" x14ac:dyDescent="0.2">
      <c r="C1551" s="195">
        <v>44622</v>
      </c>
      <c r="D1551" s="55">
        <v>260</v>
      </c>
      <c r="E1551" s="55" t="s">
        <v>3047</v>
      </c>
      <c r="F1551" s="55" t="s">
        <v>291</v>
      </c>
      <c r="G1551" s="55" t="s">
        <v>643</v>
      </c>
      <c r="H1551" s="50" t="s">
        <v>3048</v>
      </c>
    </row>
    <row r="1552" spans="3:8" x14ac:dyDescent="0.2">
      <c r="C1552" s="195">
        <v>44624</v>
      </c>
      <c r="D1552" s="55">
        <v>280</v>
      </c>
      <c r="E1552" s="55" t="s">
        <v>3049</v>
      </c>
      <c r="F1552" s="55" t="s">
        <v>390</v>
      </c>
      <c r="G1552" s="55" t="s">
        <v>408</v>
      </c>
      <c r="H1552" s="50" t="s">
        <v>3050</v>
      </c>
    </row>
    <row r="1553" spans="1:9" x14ac:dyDescent="0.2">
      <c r="C1553" s="195">
        <v>44622</v>
      </c>
      <c r="D1553" s="55">
        <v>280</v>
      </c>
      <c r="E1553" s="55" t="s">
        <v>3051</v>
      </c>
      <c r="F1553" s="55" t="s">
        <v>192</v>
      </c>
      <c r="G1553" s="55" t="s">
        <v>640</v>
      </c>
      <c r="H1553" s="50" t="s">
        <v>3052</v>
      </c>
    </row>
    <row r="1554" spans="1:9" x14ac:dyDescent="0.2">
      <c r="C1554" s="195">
        <v>44648</v>
      </c>
      <c r="D1554" s="55">
        <v>260</v>
      </c>
      <c r="E1554" s="55" t="s">
        <v>3053</v>
      </c>
      <c r="F1554" s="55" t="s">
        <v>267</v>
      </c>
      <c r="G1554" s="55" t="s">
        <v>1109</v>
      </c>
    </row>
    <row r="1555" spans="1:9" x14ac:dyDescent="0.2">
      <c r="C1555" s="195">
        <v>44651</v>
      </c>
      <c r="D1555" s="55">
        <v>280</v>
      </c>
      <c r="E1555" s="55" t="s">
        <v>3054</v>
      </c>
      <c r="F1555" s="55" t="s">
        <v>263</v>
      </c>
      <c r="G1555" s="55" t="s">
        <v>705</v>
      </c>
      <c r="H1555" s="50" t="s">
        <v>3055</v>
      </c>
    </row>
    <row r="1556" spans="1:9" x14ac:dyDescent="0.2">
      <c r="C1556" s="195">
        <v>44627</v>
      </c>
      <c r="D1556" s="55">
        <v>280</v>
      </c>
      <c r="E1556" s="55" t="s">
        <v>3056</v>
      </c>
      <c r="F1556" s="55" t="s">
        <v>263</v>
      </c>
      <c r="G1556" s="55" t="s">
        <v>579</v>
      </c>
      <c r="H1556" s="50" t="s">
        <v>3057</v>
      </c>
    </row>
    <row r="1557" spans="1:9" x14ac:dyDescent="0.2">
      <c r="C1557" s="195">
        <v>44635</v>
      </c>
      <c r="D1557" s="55">
        <v>280</v>
      </c>
      <c r="E1557" s="55" t="s">
        <v>3058</v>
      </c>
      <c r="F1557" s="55" t="s">
        <v>210</v>
      </c>
      <c r="G1557" s="55" t="s">
        <v>418</v>
      </c>
      <c r="H1557" s="50" t="s">
        <v>3059</v>
      </c>
    </row>
    <row r="1558" spans="1:9" x14ac:dyDescent="0.2">
      <c r="C1558" s="195">
        <v>44641</v>
      </c>
      <c r="D1558" s="55">
        <v>280</v>
      </c>
      <c r="E1558" s="55" t="s">
        <v>3060</v>
      </c>
      <c r="F1558" s="55" t="s">
        <v>244</v>
      </c>
      <c r="G1558" s="55" t="s">
        <v>767</v>
      </c>
      <c r="H1558" s="50" t="s">
        <v>3061</v>
      </c>
    </row>
    <row r="1559" spans="1:9" x14ac:dyDescent="0.2">
      <c r="C1559" s="195">
        <v>44645</v>
      </c>
      <c r="D1559" s="55">
        <v>260</v>
      </c>
      <c r="E1559" s="55" t="s">
        <v>3062</v>
      </c>
      <c r="F1559" s="55" t="s">
        <v>202</v>
      </c>
      <c r="G1559" s="55" t="s">
        <v>203</v>
      </c>
      <c r="H1559" s="50" t="s">
        <v>3063</v>
      </c>
    </row>
    <row r="1560" spans="1:9" x14ac:dyDescent="0.2">
      <c r="C1560" s="195">
        <v>44650</v>
      </c>
      <c r="D1560" s="55">
        <v>280</v>
      </c>
      <c r="E1560" s="55" t="s">
        <v>3064</v>
      </c>
      <c r="F1560" s="55" t="s">
        <v>272</v>
      </c>
      <c r="G1560" s="55" t="s">
        <v>273</v>
      </c>
      <c r="H1560" s="50" t="s">
        <v>3065</v>
      </c>
    </row>
    <row r="1561" spans="1:9" x14ac:dyDescent="0.2">
      <c r="C1561" s="195">
        <v>44638</v>
      </c>
      <c r="D1561" s="55">
        <v>280</v>
      </c>
      <c r="E1561" s="55" t="s">
        <v>3066</v>
      </c>
      <c r="F1561" s="55" t="s">
        <v>206</v>
      </c>
      <c r="G1561" s="55" t="s">
        <v>207</v>
      </c>
      <c r="H1561" s="50" t="s">
        <v>3067</v>
      </c>
    </row>
    <row r="1562" spans="1:9" x14ac:dyDescent="0.2">
      <c r="C1562" s="195">
        <v>44642</v>
      </c>
      <c r="D1562" s="55">
        <v>260</v>
      </c>
      <c r="E1562" s="55" t="s">
        <v>3068</v>
      </c>
      <c r="F1562" s="55" t="s">
        <v>390</v>
      </c>
      <c r="G1562" s="55" t="s">
        <v>408</v>
      </c>
      <c r="H1562" s="50" t="s">
        <v>3069</v>
      </c>
    </row>
    <row r="1563" spans="1:9" x14ac:dyDescent="0.2">
      <c r="C1563" s="195">
        <v>44636</v>
      </c>
      <c r="D1563" s="55">
        <v>280</v>
      </c>
      <c r="E1563" s="55" t="s">
        <v>3070</v>
      </c>
      <c r="F1563" s="55" t="s">
        <v>231</v>
      </c>
      <c r="G1563" s="55" t="s">
        <v>482</v>
      </c>
      <c r="H1563" s="50" t="s">
        <v>3071</v>
      </c>
    </row>
    <row r="1564" spans="1:9" x14ac:dyDescent="0.2">
      <c r="C1564" s="195">
        <v>44623</v>
      </c>
      <c r="D1564" s="55">
        <v>260</v>
      </c>
      <c r="E1564" s="55" t="s">
        <v>3072</v>
      </c>
      <c r="F1564" s="55" t="s">
        <v>263</v>
      </c>
      <c r="G1564" s="55" t="s">
        <v>892</v>
      </c>
      <c r="H1564" s="50" t="s">
        <v>224</v>
      </c>
    </row>
    <row r="1565" spans="1:9" x14ac:dyDescent="0.2">
      <c r="A1565" s="57">
        <v>322</v>
      </c>
      <c r="B1565" t="s">
        <v>836</v>
      </c>
      <c r="C1565" s="195">
        <v>44651</v>
      </c>
      <c r="D1565" s="55">
        <v>280</v>
      </c>
      <c r="E1565" s="55" t="s">
        <v>3073</v>
      </c>
      <c r="F1565" s="55" t="s">
        <v>390</v>
      </c>
      <c r="G1565" s="55" t="s">
        <v>490</v>
      </c>
      <c r="I1565" s="46" t="s">
        <v>837</v>
      </c>
    </row>
    <row r="1566" spans="1:9" x14ac:dyDescent="0.2">
      <c r="C1566" s="195">
        <v>44645</v>
      </c>
      <c r="D1566" s="55">
        <v>260</v>
      </c>
      <c r="E1566" s="55" t="s">
        <v>3074</v>
      </c>
      <c r="F1566" s="55" t="s">
        <v>202</v>
      </c>
      <c r="G1566" s="55" t="s">
        <v>341</v>
      </c>
      <c r="H1566" s="50" t="s">
        <v>3075</v>
      </c>
    </row>
    <row r="1567" spans="1:9" x14ac:dyDescent="0.2">
      <c r="C1567" s="195">
        <v>44651</v>
      </c>
      <c r="D1567" s="55">
        <v>280</v>
      </c>
      <c r="E1567" s="55" t="s">
        <v>3076</v>
      </c>
      <c r="F1567" s="55" t="s">
        <v>219</v>
      </c>
      <c r="G1567" s="55" t="s">
        <v>1732</v>
      </c>
      <c r="H1567" s="50" t="s">
        <v>3077</v>
      </c>
    </row>
    <row r="1568" spans="1:9" x14ac:dyDescent="0.2">
      <c r="C1568" s="195">
        <v>44641</v>
      </c>
      <c r="D1568" s="55">
        <v>280</v>
      </c>
      <c r="E1568" s="55" t="s">
        <v>3078</v>
      </c>
      <c r="F1568" s="55" t="s">
        <v>263</v>
      </c>
      <c r="G1568" s="55" t="s">
        <v>2291</v>
      </c>
      <c r="H1568" s="50" t="s">
        <v>224</v>
      </c>
    </row>
    <row r="1569" spans="1:9" x14ac:dyDescent="0.2">
      <c r="C1569" s="195">
        <v>44651</v>
      </c>
      <c r="D1569" s="55">
        <v>280</v>
      </c>
      <c r="E1569" s="55" t="s">
        <v>3079</v>
      </c>
      <c r="F1569" s="55" t="s">
        <v>291</v>
      </c>
      <c r="G1569" s="55" t="s">
        <v>643</v>
      </c>
      <c r="H1569" s="50" t="s">
        <v>3080</v>
      </c>
    </row>
    <row r="1570" spans="1:9" x14ac:dyDescent="0.2">
      <c r="C1570" s="195">
        <v>44636</v>
      </c>
      <c r="D1570" s="55">
        <v>280</v>
      </c>
      <c r="E1570" s="55" t="s">
        <v>3081</v>
      </c>
      <c r="F1570" s="55" t="s">
        <v>263</v>
      </c>
      <c r="G1570" s="55" t="s">
        <v>1005</v>
      </c>
      <c r="H1570" s="50" t="s">
        <v>224</v>
      </c>
    </row>
    <row r="1571" spans="1:9" x14ac:dyDescent="0.2">
      <c r="C1571" s="195">
        <v>44628</v>
      </c>
      <c r="D1571" s="55">
        <v>260</v>
      </c>
      <c r="E1571" s="55" t="s">
        <v>3082</v>
      </c>
      <c r="F1571" s="55" t="s">
        <v>210</v>
      </c>
      <c r="G1571" s="55" t="s">
        <v>418</v>
      </c>
      <c r="H1571" s="50" t="s">
        <v>3083</v>
      </c>
    </row>
    <row r="1572" spans="1:9" x14ac:dyDescent="0.2">
      <c r="C1572" s="195">
        <v>44650</v>
      </c>
      <c r="D1572" s="55">
        <v>260</v>
      </c>
      <c r="E1572" s="55" t="s">
        <v>3084</v>
      </c>
      <c r="F1572" s="55" t="s">
        <v>390</v>
      </c>
      <c r="G1572" s="55" t="s">
        <v>490</v>
      </c>
      <c r="H1572" s="50" t="s">
        <v>3085</v>
      </c>
    </row>
    <row r="1573" spans="1:9" x14ac:dyDescent="0.2">
      <c r="C1573" s="195">
        <v>44651</v>
      </c>
      <c r="D1573" s="55">
        <v>260</v>
      </c>
      <c r="E1573" s="55" t="s">
        <v>3086</v>
      </c>
      <c r="F1573" s="55" t="s">
        <v>291</v>
      </c>
      <c r="G1573" s="55" t="s">
        <v>1215</v>
      </c>
      <c r="H1573" s="50" t="s">
        <v>3087</v>
      </c>
    </row>
    <row r="1574" spans="1:9" x14ac:dyDescent="0.2">
      <c r="A1574" s="57">
        <v>322</v>
      </c>
      <c r="B1574" t="s">
        <v>836</v>
      </c>
      <c r="C1574" s="195">
        <v>44622</v>
      </c>
      <c r="D1574" s="55">
        <v>280</v>
      </c>
      <c r="E1574" s="55" t="s">
        <v>3088</v>
      </c>
      <c r="F1574" s="55" t="s">
        <v>202</v>
      </c>
      <c r="G1574" s="55" t="s">
        <v>341</v>
      </c>
      <c r="H1574" s="50" t="s">
        <v>3089</v>
      </c>
      <c r="I1574" s="46" t="s">
        <v>837</v>
      </c>
    </row>
    <row r="1575" spans="1:9" x14ac:dyDescent="0.2">
      <c r="C1575" s="195">
        <v>44621</v>
      </c>
      <c r="D1575" s="55">
        <v>280</v>
      </c>
      <c r="E1575" s="55" t="s">
        <v>3090</v>
      </c>
      <c r="F1575" s="55" t="s">
        <v>231</v>
      </c>
      <c r="G1575" s="55" t="s">
        <v>1098</v>
      </c>
    </row>
    <row r="1576" spans="1:9" x14ac:dyDescent="0.2">
      <c r="C1576" s="195">
        <v>44644</v>
      </c>
      <c r="D1576" s="55">
        <v>260</v>
      </c>
      <c r="E1576" s="55" t="s">
        <v>3091</v>
      </c>
      <c r="F1576" s="55" t="s">
        <v>202</v>
      </c>
      <c r="G1576" s="55" t="s">
        <v>203</v>
      </c>
      <c r="H1576" s="50" t="s">
        <v>3092</v>
      </c>
    </row>
    <row r="1577" spans="1:9" x14ac:dyDescent="0.2">
      <c r="C1577" s="195">
        <v>44643</v>
      </c>
      <c r="D1577" s="55">
        <v>260</v>
      </c>
      <c r="E1577" s="55" t="s">
        <v>3093</v>
      </c>
      <c r="F1577" s="55" t="s">
        <v>202</v>
      </c>
      <c r="G1577" s="55" t="s">
        <v>321</v>
      </c>
      <c r="H1577" s="50" t="s">
        <v>3094</v>
      </c>
    </row>
    <row r="1578" spans="1:9" x14ac:dyDescent="0.2">
      <c r="C1578" s="195">
        <v>44641</v>
      </c>
      <c r="D1578" s="55">
        <v>260</v>
      </c>
      <c r="E1578" s="55" t="s">
        <v>3095</v>
      </c>
      <c r="F1578" s="55" t="s">
        <v>231</v>
      </c>
      <c r="G1578" s="55" t="s">
        <v>3096</v>
      </c>
      <c r="H1578" s="50" t="s">
        <v>3097</v>
      </c>
    </row>
    <row r="1579" spans="1:9" x14ac:dyDescent="0.2">
      <c r="C1579" s="195">
        <v>44645</v>
      </c>
      <c r="D1579" s="55">
        <v>260</v>
      </c>
      <c r="E1579" s="55" t="s">
        <v>3098</v>
      </c>
      <c r="F1579" s="55" t="s">
        <v>196</v>
      </c>
      <c r="G1579" s="55" t="s">
        <v>352</v>
      </c>
      <c r="H1579" s="50" t="s">
        <v>3099</v>
      </c>
    </row>
    <row r="1580" spans="1:9" x14ac:dyDescent="0.2">
      <c r="C1580" s="195">
        <v>44622</v>
      </c>
      <c r="D1580" s="55">
        <v>260</v>
      </c>
      <c r="E1580" s="55" t="s">
        <v>3100</v>
      </c>
      <c r="F1580" s="55" t="s">
        <v>202</v>
      </c>
      <c r="G1580" s="55" t="s">
        <v>341</v>
      </c>
      <c r="H1580" s="50" t="s">
        <v>224</v>
      </c>
    </row>
    <row r="1581" spans="1:9" x14ac:dyDescent="0.2">
      <c r="C1581" s="195">
        <v>44627</v>
      </c>
      <c r="D1581" s="55">
        <v>260</v>
      </c>
      <c r="E1581" s="55" t="s">
        <v>3101</v>
      </c>
      <c r="F1581" s="55" t="s">
        <v>192</v>
      </c>
      <c r="G1581" s="55" t="s">
        <v>453</v>
      </c>
      <c r="H1581" s="50" t="s">
        <v>3102</v>
      </c>
    </row>
    <row r="1582" spans="1:9" x14ac:dyDescent="0.2">
      <c r="C1582" s="195">
        <v>44642</v>
      </c>
      <c r="D1582" s="55">
        <v>280</v>
      </c>
      <c r="E1582" s="55" t="s">
        <v>3103</v>
      </c>
      <c r="F1582" s="55" t="s">
        <v>192</v>
      </c>
      <c r="G1582" s="55" t="s">
        <v>563</v>
      </c>
      <c r="H1582" s="50" t="s">
        <v>3104</v>
      </c>
    </row>
    <row r="1583" spans="1:9" x14ac:dyDescent="0.2">
      <c r="C1583" s="195">
        <v>44648</v>
      </c>
      <c r="D1583" s="55">
        <v>260</v>
      </c>
      <c r="E1583" s="55" t="s">
        <v>3105</v>
      </c>
      <c r="F1583" s="55" t="s">
        <v>244</v>
      </c>
      <c r="G1583" s="55" t="s">
        <v>767</v>
      </c>
      <c r="H1583" s="50" t="s">
        <v>3106</v>
      </c>
    </row>
    <row r="1584" spans="1:9" x14ac:dyDescent="0.2">
      <c r="C1584" s="195">
        <v>44629</v>
      </c>
      <c r="D1584" s="55">
        <v>260</v>
      </c>
      <c r="E1584" s="55" t="s">
        <v>3107</v>
      </c>
      <c r="F1584" s="55" t="s">
        <v>192</v>
      </c>
      <c r="G1584" s="55" t="s">
        <v>258</v>
      </c>
      <c r="H1584" s="50" t="s">
        <v>3108</v>
      </c>
    </row>
    <row r="1585" spans="1:62" x14ac:dyDescent="0.2">
      <c r="C1585" s="195">
        <v>44635</v>
      </c>
      <c r="D1585" s="55">
        <v>260</v>
      </c>
      <c r="E1585" s="55" t="s">
        <v>3109</v>
      </c>
      <c r="F1585" s="55" t="s">
        <v>192</v>
      </c>
      <c r="G1585" s="55" t="s">
        <v>324</v>
      </c>
      <c r="H1585" s="50" t="s">
        <v>3110</v>
      </c>
    </row>
    <row r="1586" spans="1:62" x14ac:dyDescent="0.2">
      <c r="A1586" s="57">
        <v>322</v>
      </c>
      <c r="B1586" s="162" t="s">
        <v>836</v>
      </c>
      <c r="C1586" s="195">
        <v>44644</v>
      </c>
      <c r="D1586" s="55">
        <v>260</v>
      </c>
      <c r="E1586" s="55" t="s">
        <v>3111</v>
      </c>
      <c r="F1586" s="55" t="s">
        <v>390</v>
      </c>
      <c r="G1586" s="55" t="s">
        <v>490</v>
      </c>
      <c r="H1586" s="50" t="s">
        <v>224</v>
      </c>
      <c r="I1586" s="46" t="s">
        <v>839</v>
      </c>
      <c r="J1586" s="52">
        <v>1</v>
      </c>
      <c r="K1586" s="52">
        <v>1</v>
      </c>
      <c r="O1586" s="1">
        <v>1</v>
      </c>
      <c r="S1586" s="1">
        <v>1</v>
      </c>
      <c r="W1586" s="1">
        <v>1</v>
      </c>
      <c r="AA1586" s="1">
        <v>2</v>
      </c>
      <c r="AG1586">
        <v>2</v>
      </c>
      <c r="AM1586">
        <v>3</v>
      </c>
      <c r="AS1586">
        <v>4</v>
      </c>
      <c r="AT1586">
        <v>1</v>
      </c>
      <c r="AU1586">
        <v>1</v>
      </c>
      <c r="AZ1586">
        <v>2</v>
      </c>
      <c r="BA1586">
        <v>1</v>
      </c>
      <c r="BB1586">
        <v>1</v>
      </c>
      <c r="BC1586">
        <v>1</v>
      </c>
      <c r="BD1586">
        <v>1</v>
      </c>
      <c r="BE1586">
        <v>1</v>
      </c>
      <c r="BJ1586">
        <v>5</v>
      </c>
    </row>
    <row r="1587" spans="1:62" x14ac:dyDescent="0.2">
      <c r="A1587" s="57">
        <v>322</v>
      </c>
      <c r="B1587" t="s">
        <v>836</v>
      </c>
      <c r="C1587" s="195">
        <v>44648</v>
      </c>
      <c r="D1587" s="55">
        <v>280</v>
      </c>
      <c r="E1587" s="55" t="s">
        <v>3112</v>
      </c>
      <c r="F1587" s="55" t="s">
        <v>210</v>
      </c>
      <c r="G1587" s="55" t="s">
        <v>883</v>
      </c>
      <c r="H1587" s="50" t="s">
        <v>3113</v>
      </c>
      <c r="I1587" s="46" t="s">
        <v>837</v>
      </c>
    </row>
    <row r="1588" spans="1:62" x14ac:dyDescent="0.2">
      <c r="C1588" s="195">
        <v>44649</v>
      </c>
      <c r="D1588" s="55">
        <v>280</v>
      </c>
      <c r="E1588" s="55" t="s">
        <v>3114</v>
      </c>
      <c r="F1588" s="55" t="s">
        <v>219</v>
      </c>
      <c r="G1588" s="55" t="s">
        <v>561</v>
      </c>
      <c r="H1588" s="50" t="s">
        <v>3115</v>
      </c>
    </row>
    <row r="1589" spans="1:62" x14ac:dyDescent="0.2">
      <c r="C1589" s="195">
        <v>44649</v>
      </c>
      <c r="D1589" s="55">
        <v>260</v>
      </c>
      <c r="E1589" s="55" t="s">
        <v>3116</v>
      </c>
      <c r="F1589" s="55" t="s">
        <v>202</v>
      </c>
      <c r="G1589" s="55" t="s">
        <v>302</v>
      </c>
      <c r="H1589" s="50" t="s">
        <v>3117</v>
      </c>
    </row>
    <row r="1590" spans="1:62" x14ac:dyDescent="0.2">
      <c r="C1590" s="195">
        <v>44627</v>
      </c>
      <c r="D1590" s="55">
        <v>280</v>
      </c>
      <c r="E1590" s="55" t="s">
        <v>3118</v>
      </c>
      <c r="F1590" s="55" t="s">
        <v>196</v>
      </c>
      <c r="G1590" s="55" t="s">
        <v>464</v>
      </c>
      <c r="H1590" s="50" t="s">
        <v>3119</v>
      </c>
    </row>
    <row r="1591" spans="1:62" x14ac:dyDescent="0.2">
      <c r="C1591" s="195">
        <v>44644</v>
      </c>
      <c r="D1591" s="55">
        <v>280</v>
      </c>
      <c r="E1591" s="55" t="s">
        <v>3120</v>
      </c>
      <c r="F1591" s="55" t="s">
        <v>390</v>
      </c>
      <c r="G1591" s="55" t="s">
        <v>922</v>
      </c>
      <c r="H1591" s="50" t="s">
        <v>224</v>
      </c>
    </row>
    <row r="1592" spans="1:62" x14ac:dyDescent="0.2">
      <c r="C1592" s="195">
        <v>44642</v>
      </c>
      <c r="D1592" s="55">
        <v>280</v>
      </c>
      <c r="E1592" s="55" t="s">
        <v>3121</v>
      </c>
      <c r="F1592" s="55" t="s">
        <v>390</v>
      </c>
      <c r="G1592" s="55" t="s">
        <v>391</v>
      </c>
      <c r="H1592" s="50" t="s">
        <v>224</v>
      </c>
    </row>
    <row r="1593" spans="1:62" x14ac:dyDescent="0.2">
      <c r="A1593" s="57">
        <v>322</v>
      </c>
      <c r="B1593" t="s">
        <v>836</v>
      </c>
      <c r="C1593" s="195">
        <v>44628</v>
      </c>
      <c r="D1593" s="55">
        <v>260</v>
      </c>
      <c r="E1593" s="55" t="s">
        <v>3122</v>
      </c>
      <c r="F1593" s="55" t="s">
        <v>291</v>
      </c>
      <c r="G1593" s="55" t="s">
        <v>607</v>
      </c>
      <c r="H1593" s="50" t="s">
        <v>3123</v>
      </c>
      <c r="I1593" s="46" t="s">
        <v>837</v>
      </c>
    </row>
    <row r="1594" spans="1:62" x14ac:dyDescent="0.2">
      <c r="C1594" s="195">
        <v>44645</v>
      </c>
      <c r="D1594" s="55">
        <v>260</v>
      </c>
      <c r="E1594" s="55" t="s">
        <v>3124</v>
      </c>
      <c r="F1594" s="55" t="s">
        <v>219</v>
      </c>
      <c r="G1594" s="55" t="s">
        <v>540</v>
      </c>
      <c r="H1594" s="50" t="s">
        <v>3125</v>
      </c>
    </row>
    <row r="1595" spans="1:62" x14ac:dyDescent="0.2">
      <c r="C1595" s="195">
        <v>44636</v>
      </c>
      <c r="D1595" s="55">
        <v>260</v>
      </c>
      <c r="E1595" s="55" t="s">
        <v>3126</v>
      </c>
      <c r="F1595" s="55" t="s">
        <v>219</v>
      </c>
      <c r="G1595" s="55" t="s">
        <v>223</v>
      </c>
      <c r="H1595" s="50" t="s">
        <v>3127</v>
      </c>
    </row>
    <row r="1596" spans="1:62" x14ac:dyDescent="0.2">
      <c r="C1596" s="195">
        <v>44635</v>
      </c>
      <c r="D1596" s="55">
        <v>280</v>
      </c>
      <c r="E1596" s="55" t="s">
        <v>3128</v>
      </c>
      <c r="F1596" s="55" t="s">
        <v>210</v>
      </c>
      <c r="G1596" s="55" t="s">
        <v>508</v>
      </c>
      <c r="H1596" s="50" t="s">
        <v>3129</v>
      </c>
    </row>
    <row r="1597" spans="1:62" x14ac:dyDescent="0.2">
      <c r="C1597" s="195">
        <v>44635</v>
      </c>
      <c r="D1597" s="55">
        <v>260</v>
      </c>
      <c r="E1597" s="55" t="s">
        <v>3130</v>
      </c>
      <c r="F1597" s="55" t="s">
        <v>231</v>
      </c>
      <c r="G1597" s="55" t="s">
        <v>648</v>
      </c>
      <c r="H1597" s="50" t="s">
        <v>3131</v>
      </c>
    </row>
    <row r="1598" spans="1:62" x14ac:dyDescent="0.2">
      <c r="C1598" s="195">
        <v>44643</v>
      </c>
      <c r="D1598" s="55">
        <v>280</v>
      </c>
      <c r="E1598" s="55" t="s">
        <v>3132</v>
      </c>
      <c r="F1598" s="55" t="s">
        <v>263</v>
      </c>
      <c r="G1598" s="55" t="s">
        <v>1005</v>
      </c>
      <c r="H1598" s="50" t="s">
        <v>3133</v>
      </c>
    </row>
    <row r="1599" spans="1:62" x14ac:dyDescent="0.2">
      <c r="C1599" s="195">
        <v>44637</v>
      </c>
      <c r="D1599" s="55">
        <v>280</v>
      </c>
      <c r="E1599" s="55" t="s">
        <v>3134</v>
      </c>
      <c r="F1599" s="55" t="s">
        <v>231</v>
      </c>
      <c r="G1599" s="55" t="s">
        <v>371</v>
      </c>
      <c r="H1599" s="50" t="s">
        <v>3135</v>
      </c>
    </row>
    <row r="1600" spans="1:62" x14ac:dyDescent="0.2">
      <c r="A1600" s="57">
        <v>322</v>
      </c>
      <c r="B1600" t="s">
        <v>836</v>
      </c>
      <c r="C1600" s="195">
        <v>44643</v>
      </c>
      <c r="D1600" s="55">
        <v>260</v>
      </c>
      <c r="E1600" s="55" t="s">
        <v>3136</v>
      </c>
      <c r="F1600" s="55" t="s">
        <v>202</v>
      </c>
      <c r="G1600" s="55" t="s">
        <v>302</v>
      </c>
      <c r="H1600" s="50" t="s">
        <v>3137</v>
      </c>
      <c r="I1600" s="46" t="s">
        <v>837</v>
      </c>
    </row>
    <row r="1601" spans="1:9" x14ac:dyDescent="0.2">
      <c r="C1601" s="195">
        <v>44641</v>
      </c>
      <c r="D1601" s="55">
        <v>280</v>
      </c>
      <c r="E1601" s="55" t="s">
        <v>3138</v>
      </c>
      <c r="F1601" s="55" t="s">
        <v>244</v>
      </c>
      <c r="G1601" s="55" t="s">
        <v>294</v>
      </c>
      <c r="H1601" s="50" t="s">
        <v>3139</v>
      </c>
    </row>
    <row r="1602" spans="1:9" x14ac:dyDescent="0.2">
      <c r="C1602" s="195">
        <v>44624</v>
      </c>
      <c r="D1602" s="55">
        <v>280</v>
      </c>
      <c r="E1602" s="55" t="s">
        <v>3140</v>
      </c>
      <c r="F1602" s="55" t="s">
        <v>231</v>
      </c>
      <c r="G1602" s="55" t="s">
        <v>421</v>
      </c>
      <c r="H1602" s="50" t="s">
        <v>3141</v>
      </c>
    </row>
    <row r="1603" spans="1:9" x14ac:dyDescent="0.2">
      <c r="C1603" s="195">
        <v>44636</v>
      </c>
      <c r="D1603" s="55">
        <v>280</v>
      </c>
      <c r="E1603" s="55" t="s">
        <v>3142</v>
      </c>
      <c r="F1603" s="55" t="s">
        <v>206</v>
      </c>
      <c r="G1603" s="55" t="s">
        <v>758</v>
      </c>
      <c r="H1603" s="50" t="s">
        <v>3143</v>
      </c>
    </row>
    <row r="1604" spans="1:9" x14ac:dyDescent="0.2">
      <c r="C1604" s="195">
        <v>44621</v>
      </c>
      <c r="D1604" s="55">
        <v>260</v>
      </c>
      <c r="E1604" s="55" t="s">
        <v>3144</v>
      </c>
      <c r="F1604" s="55" t="s">
        <v>231</v>
      </c>
      <c r="G1604" s="55" t="s">
        <v>782</v>
      </c>
      <c r="H1604" s="50" t="s">
        <v>3145</v>
      </c>
    </row>
    <row r="1605" spans="1:9" x14ac:dyDescent="0.2">
      <c r="A1605" s="57">
        <v>322</v>
      </c>
      <c r="B1605" t="s">
        <v>836</v>
      </c>
      <c r="C1605" s="195">
        <v>44641</v>
      </c>
      <c r="D1605" s="55">
        <v>260</v>
      </c>
      <c r="E1605" s="55" t="s">
        <v>3146</v>
      </c>
      <c r="F1605" s="55" t="s">
        <v>263</v>
      </c>
      <c r="G1605" s="55" t="s">
        <v>2291</v>
      </c>
      <c r="H1605" s="50" t="s">
        <v>3147</v>
      </c>
      <c r="I1605" s="46" t="s">
        <v>837</v>
      </c>
    </row>
    <row r="1606" spans="1:9" x14ac:dyDescent="0.2">
      <c r="C1606" s="195">
        <v>44648</v>
      </c>
      <c r="D1606" s="55">
        <v>280</v>
      </c>
      <c r="E1606" s="55" t="s">
        <v>3148</v>
      </c>
      <c r="F1606" s="55" t="s">
        <v>206</v>
      </c>
      <c r="G1606" s="55" t="s">
        <v>568</v>
      </c>
      <c r="H1606" s="50" t="s">
        <v>3149</v>
      </c>
    </row>
    <row r="1607" spans="1:9" x14ac:dyDescent="0.2">
      <c r="C1607" s="195">
        <v>44651</v>
      </c>
      <c r="D1607" s="55">
        <v>280</v>
      </c>
      <c r="E1607" s="55" t="s">
        <v>3150</v>
      </c>
      <c r="F1607" s="55" t="s">
        <v>192</v>
      </c>
      <c r="G1607" s="55" t="s">
        <v>487</v>
      </c>
      <c r="H1607" s="50" t="s">
        <v>224</v>
      </c>
    </row>
    <row r="1608" spans="1:9" x14ac:dyDescent="0.2">
      <c r="A1608" s="57">
        <v>322</v>
      </c>
      <c r="B1608" t="s">
        <v>836</v>
      </c>
      <c r="C1608" s="195">
        <v>44629</v>
      </c>
      <c r="D1608" s="55">
        <v>260</v>
      </c>
      <c r="E1608" s="55" t="s">
        <v>3151</v>
      </c>
      <c r="F1608" s="55" t="s">
        <v>267</v>
      </c>
      <c r="G1608" s="55" t="s">
        <v>331</v>
      </c>
      <c r="H1608" s="50" t="s">
        <v>3152</v>
      </c>
      <c r="I1608" s="46" t="s">
        <v>837</v>
      </c>
    </row>
    <row r="1609" spans="1:9" x14ac:dyDescent="0.2">
      <c r="C1609" s="195">
        <v>44621</v>
      </c>
      <c r="D1609" s="55">
        <v>280</v>
      </c>
      <c r="E1609" s="55" t="s">
        <v>3153</v>
      </c>
      <c r="F1609" s="55" t="s">
        <v>263</v>
      </c>
      <c r="G1609" s="55" t="s">
        <v>705</v>
      </c>
      <c r="H1609" s="50" t="s">
        <v>3154</v>
      </c>
    </row>
    <row r="1610" spans="1:9" x14ac:dyDescent="0.2">
      <c r="C1610" s="195">
        <v>44634</v>
      </c>
      <c r="D1610" s="55">
        <v>260</v>
      </c>
      <c r="E1610" s="55" t="s">
        <v>3155</v>
      </c>
      <c r="F1610" s="55" t="s">
        <v>219</v>
      </c>
      <c r="G1610" s="55" t="s">
        <v>220</v>
      </c>
      <c r="H1610" s="50" t="s">
        <v>3156</v>
      </c>
    </row>
    <row r="1611" spans="1:9" x14ac:dyDescent="0.2">
      <c r="C1611" s="195">
        <v>44651</v>
      </c>
      <c r="D1611" s="55">
        <v>260</v>
      </c>
      <c r="E1611" s="55" t="s">
        <v>3157</v>
      </c>
      <c r="F1611" s="55" t="s">
        <v>231</v>
      </c>
      <c r="G1611" s="55" t="s">
        <v>255</v>
      </c>
      <c r="H1611" s="50" t="s">
        <v>3158</v>
      </c>
    </row>
    <row r="1612" spans="1:9" x14ac:dyDescent="0.2">
      <c r="C1612" s="195">
        <v>44649</v>
      </c>
      <c r="D1612" s="55">
        <v>260</v>
      </c>
      <c r="E1612" s="55" t="s">
        <v>3159</v>
      </c>
      <c r="F1612" s="55" t="s">
        <v>244</v>
      </c>
      <c r="G1612" s="55" t="s">
        <v>294</v>
      </c>
      <c r="H1612" s="50" t="s">
        <v>3160</v>
      </c>
    </row>
    <row r="1613" spans="1:9" x14ac:dyDescent="0.2">
      <c r="C1613" s="195">
        <v>44627</v>
      </c>
      <c r="D1613" s="55">
        <v>260</v>
      </c>
      <c r="E1613" s="55" t="s">
        <v>3161</v>
      </c>
      <c r="F1613" s="55" t="s">
        <v>267</v>
      </c>
      <c r="G1613" s="55" t="s">
        <v>442</v>
      </c>
      <c r="H1613" s="50" t="s">
        <v>224</v>
      </c>
    </row>
    <row r="1614" spans="1:9" x14ac:dyDescent="0.2">
      <c r="C1614" s="195">
        <v>44629</v>
      </c>
      <c r="D1614" s="55">
        <v>260</v>
      </c>
      <c r="E1614" s="55" t="s">
        <v>3162</v>
      </c>
      <c r="F1614" s="55" t="s">
        <v>272</v>
      </c>
      <c r="G1614" s="55" t="s">
        <v>683</v>
      </c>
      <c r="H1614" s="50" t="s">
        <v>3163</v>
      </c>
    </row>
    <row r="1615" spans="1:9" x14ac:dyDescent="0.2">
      <c r="C1615" s="195">
        <v>44628</v>
      </c>
      <c r="D1615" s="55">
        <v>260</v>
      </c>
      <c r="E1615" s="55" t="s">
        <v>3164</v>
      </c>
      <c r="F1615" s="55" t="s">
        <v>202</v>
      </c>
      <c r="G1615" s="55" t="s">
        <v>2033</v>
      </c>
      <c r="H1615" s="50" t="s">
        <v>3165</v>
      </c>
    </row>
    <row r="1616" spans="1:9" x14ac:dyDescent="0.2">
      <c r="C1616" s="195">
        <v>44627</v>
      </c>
      <c r="D1616" s="55">
        <v>280</v>
      </c>
      <c r="E1616" s="55" t="s">
        <v>3166</v>
      </c>
      <c r="F1616" s="55" t="s">
        <v>244</v>
      </c>
      <c r="G1616" s="55" t="s">
        <v>1085</v>
      </c>
      <c r="H1616" s="50" t="s">
        <v>3167</v>
      </c>
    </row>
    <row r="1617" spans="1:62" x14ac:dyDescent="0.2">
      <c r="A1617" s="57">
        <v>322</v>
      </c>
      <c r="B1617" t="s">
        <v>836</v>
      </c>
      <c r="C1617" s="195">
        <v>44651</v>
      </c>
      <c r="D1617" s="55">
        <v>280</v>
      </c>
      <c r="E1617" s="55" t="s">
        <v>3168</v>
      </c>
      <c r="F1617" s="55" t="s">
        <v>291</v>
      </c>
      <c r="G1617" s="55" t="s">
        <v>819</v>
      </c>
      <c r="H1617" s="50" t="s">
        <v>224</v>
      </c>
      <c r="I1617" s="46" t="s">
        <v>839</v>
      </c>
      <c r="J1617" s="52">
        <v>1</v>
      </c>
      <c r="K1617" s="52">
        <v>1</v>
      </c>
      <c r="O1617" s="1">
        <v>2</v>
      </c>
      <c r="S1617" s="1">
        <v>1</v>
      </c>
      <c r="W1617" s="1">
        <v>1</v>
      </c>
      <c r="AA1617" s="1">
        <v>1</v>
      </c>
      <c r="AG1617">
        <v>1</v>
      </c>
      <c r="AM1617">
        <v>4</v>
      </c>
      <c r="AS1617">
        <v>4</v>
      </c>
      <c r="AT1617">
        <v>1</v>
      </c>
      <c r="AU1617">
        <v>1</v>
      </c>
      <c r="AZ1617">
        <v>1</v>
      </c>
      <c r="BA1617">
        <v>4</v>
      </c>
      <c r="BB1617">
        <v>4</v>
      </c>
      <c r="BC1617">
        <v>4</v>
      </c>
      <c r="BD1617">
        <v>4</v>
      </c>
      <c r="BE1617">
        <v>1</v>
      </c>
      <c r="BJ1617">
        <v>1</v>
      </c>
    </row>
    <row r="1618" spans="1:62" x14ac:dyDescent="0.2">
      <c r="A1618" s="57">
        <v>322</v>
      </c>
      <c r="B1618" s="162" t="s">
        <v>836</v>
      </c>
      <c r="C1618" s="195">
        <v>44631</v>
      </c>
      <c r="D1618" s="55">
        <v>260</v>
      </c>
      <c r="E1618" s="55" t="s">
        <v>3169</v>
      </c>
      <c r="F1618" s="55" t="s">
        <v>263</v>
      </c>
      <c r="G1618" s="55" t="s">
        <v>995</v>
      </c>
      <c r="H1618" s="50" t="s">
        <v>224</v>
      </c>
      <c r="I1618" s="46" t="s">
        <v>839</v>
      </c>
      <c r="J1618" s="52">
        <v>1</v>
      </c>
      <c r="K1618" s="52">
        <v>1</v>
      </c>
      <c r="O1618" s="1">
        <v>1</v>
      </c>
      <c r="S1618" s="1">
        <v>1</v>
      </c>
      <c r="W1618" s="1">
        <v>1</v>
      </c>
      <c r="AA1618" s="1">
        <v>1</v>
      </c>
      <c r="AG1618">
        <v>1</v>
      </c>
      <c r="AM1618">
        <v>5</v>
      </c>
      <c r="AS1618">
        <v>5</v>
      </c>
      <c r="AT1618">
        <v>1</v>
      </c>
      <c r="AU1618">
        <v>1</v>
      </c>
      <c r="AZ1618">
        <v>1</v>
      </c>
      <c r="BA1618">
        <v>4</v>
      </c>
      <c r="BB1618">
        <v>4</v>
      </c>
      <c r="BC1618">
        <v>4</v>
      </c>
      <c r="BD1618">
        <v>4</v>
      </c>
      <c r="BE1618">
        <v>1</v>
      </c>
      <c r="BJ1618">
        <v>1</v>
      </c>
    </row>
    <row r="1619" spans="1:62" x14ac:dyDescent="0.2">
      <c r="C1619" s="195">
        <v>44641</v>
      </c>
      <c r="D1619" s="55">
        <v>280</v>
      </c>
      <c r="E1619" s="55" t="s">
        <v>3170</v>
      </c>
      <c r="F1619" s="55" t="s">
        <v>231</v>
      </c>
      <c r="G1619" s="55" t="s">
        <v>3096</v>
      </c>
      <c r="H1619" s="50" t="s">
        <v>3171</v>
      </c>
    </row>
    <row r="1620" spans="1:62" x14ac:dyDescent="0.2">
      <c r="C1620" s="195">
        <v>44622</v>
      </c>
      <c r="D1620" s="55">
        <v>280</v>
      </c>
      <c r="E1620" s="55" t="s">
        <v>3172</v>
      </c>
      <c r="F1620" s="55" t="s">
        <v>267</v>
      </c>
      <c r="G1620" s="55" t="s">
        <v>1109</v>
      </c>
      <c r="H1620" s="50" t="s">
        <v>224</v>
      </c>
    </row>
    <row r="1621" spans="1:62" x14ac:dyDescent="0.2">
      <c r="A1621" s="57">
        <v>322</v>
      </c>
      <c r="B1621" t="s">
        <v>836</v>
      </c>
      <c r="C1621" s="195">
        <v>44641</v>
      </c>
      <c r="D1621" s="55">
        <v>280</v>
      </c>
      <c r="E1621" s="55" t="s">
        <v>3173</v>
      </c>
      <c r="F1621" s="55" t="s">
        <v>231</v>
      </c>
      <c r="G1621" s="55" t="s">
        <v>435</v>
      </c>
      <c r="H1621" s="50" t="s">
        <v>3174</v>
      </c>
      <c r="I1621" s="46" t="s">
        <v>837</v>
      </c>
    </row>
    <row r="1622" spans="1:62" x14ac:dyDescent="0.2">
      <c r="C1622" s="195">
        <v>44628</v>
      </c>
      <c r="D1622" s="55">
        <v>260</v>
      </c>
      <c r="E1622" s="55" t="s">
        <v>3175</v>
      </c>
      <c r="F1622" s="55" t="s">
        <v>267</v>
      </c>
      <c r="G1622" s="55" t="s">
        <v>442</v>
      </c>
      <c r="H1622" s="50" t="s">
        <v>3176</v>
      </c>
    </row>
    <row r="1623" spans="1:62" x14ac:dyDescent="0.2">
      <c r="C1623" s="195">
        <v>44645</v>
      </c>
      <c r="D1623" s="55">
        <v>260</v>
      </c>
      <c r="E1623" s="55" t="s">
        <v>3177</v>
      </c>
      <c r="F1623" s="55" t="s">
        <v>210</v>
      </c>
      <c r="G1623" s="55" t="s">
        <v>883</v>
      </c>
      <c r="H1623" s="50" t="s">
        <v>3178</v>
      </c>
    </row>
    <row r="1624" spans="1:62" x14ac:dyDescent="0.2">
      <c r="A1624" s="57">
        <v>322</v>
      </c>
      <c r="B1624" s="162" t="s">
        <v>836</v>
      </c>
      <c r="C1624" s="195">
        <v>44638</v>
      </c>
      <c r="D1624" s="55">
        <v>260</v>
      </c>
      <c r="E1624" s="55" t="s">
        <v>3179</v>
      </c>
      <c r="F1624" s="55" t="s">
        <v>210</v>
      </c>
      <c r="G1624" s="55" t="s">
        <v>383</v>
      </c>
      <c r="H1624" s="50" t="s">
        <v>224</v>
      </c>
      <c r="I1624" s="46" t="s">
        <v>839</v>
      </c>
      <c r="J1624" s="52">
        <v>1</v>
      </c>
      <c r="K1624" s="52">
        <v>1</v>
      </c>
      <c r="O1624" s="1">
        <v>1</v>
      </c>
      <c r="S1624" s="1">
        <v>1</v>
      </c>
      <c r="W1624" s="1">
        <v>1</v>
      </c>
      <c r="AA1624" s="1">
        <v>1</v>
      </c>
      <c r="AG1624">
        <v>1</v>
      </c>
      <c r="AM1624">
        <v>4</v>
      </c>
      <c r="AS1624">
        <v>4</v>
      </c>
      <c r="AT1624">
        <v>4</v>
      </c>
      <c r="AU1624">
        <v>4</v>
      </c>
      <c r="AV1624">
        <v>3</v>
      </c>
      <c r="AW1624">
        <v>3</v>
      </c>
      <c r="AX1624">
        <v>3</v>
      </c>
      <c r="AY1624">
        <v>3</v>
      </c>
      <c r="AZ1624">
        <v>4</v>
      </c>
      <c r="BA1624">
        <v>3</v>
      </c>
      <c r="BB1624">
        <v>3</v>
      </c>
      <c r="BC1624">
        <v>3</v>
      </c>
      <c r="BD1624">
        <v>3</v>
      </c>
      <c r="BE1624">
        <v>1</v>
      </c>
      <c r="BJ1624">
        <v>5</v>
      </c>
    </row>
    <row r="1625" spans="1:62" x14ac:dyDescent="0.2">
      <c r="C1625" s="195">
        <v>44622</v>
      </c>
      <c r="D1625" s="55">
        <v>280</v>
      </c>
      <c r="E1625" s="55" t="s">
        <v>3180</v>
      </c>
      <c r="F1625" s="55" t="s">
        <v>272</v>
      </c>
      <c r="G1625" s="55" t="s">
        <v>366</v>
      </c>
      <c r="H1625" s="50" t="s">
        <v>224</v>
      </c>
    </row>
    <row r="1626" spans="1:62" x14ac:dyDescent="0.2">
      <c r="C1626" s="195">
        <v>44638</v>
      </c>
      <c r="D1626" s="55">
        <v>280</v>
      </c>
      <c r="E1626" s="55" t="s">
        <v>3181</v>
      </c>
      <c r="F1626" s="55" t="s">
        <v>196</v>
      </c>
      <c r="G1626" s="55" t="s">
        <v>352</v>
      </c>
      <c r="H1626" s="50" t="s">
        <v>3182</v>
      </c>
    </row>
    <row r="1627" spans="1:62" x14ac:dyDescent="0.2">
      <c r="C1627" s="195">
        <v>44629</v>
      </c>
      <c r="D1627" s="55">
        <v>280</v>
      </c>
      <c r="E1627" s="55" t="s">
        <v>3183</v>
      </c>
      <c r="F1627" s="55" t="s">
        <v>267</v>
      </c>
      <c r="G1627" s="55" t="s">
        <v>708</v>
      </c>
      <c r="H1627" s="50" t="s">
        <v>224</v>
      </c>
    </row>
    <row r="1628" spans="1:62" x14ac:dyDescent="0.2">
      <c r="C1628" s="195">
        <v>44651</v>
      </c>
      <c r="D1628" s="55">
        <v>280</v>
      </c>
      <c r="E1628" s="55" t="s">
        <v>784</v>
      </c>
      <c r="F1628" s="55" t="s">
        <v>267</v>
      </c>
      <c r="G1628" s="55" t="s">
        <v>813</v>
      </c>
      <c r="H1628" s="50" t="s">
        <v>785</v>
      </c>
    </row>
    <row r="1629" spans="1:62" x14ac:dyDescent="0.2">
      <c r="C1629" s="195">
        <v>44635</v>
      </c>
      <c r="D1629" s="55">
        <v>280</v>
      </c>
      <c r="E1629" s="55" t="s">
        <v>3184</v>
      </c>
      <c r="F1629" s="55" t="s">
        <v>206</v>
      </c>
      <c r="G1629" s="55" t="s">
        <v>676</v>
      </c>
      <c r="H1629" s="50" t="s">
        <v>3185</v>
      </c>
    </row>
    <row r="1630" spans="1:62" x14ac:dyDescent="0.2">
      <c r="C1630" s="195">
        <v>44627</v>
      </c>
      <c r="D1630" s="55">
        <v>260</v>
      </c>
      <c r="E1630" s="55" t="s">
        <v>3186</v>
      </c>
      <c r="F1630" s="55" t="s">
        <v>244</v>
      </c>
      <c r="G1630" s="55" t="s">
        <v>315</v>
      </c>
      <c r="H1630" s="50" t="s">
        <v>3187</v>
      </c>
    </row>
    <row r="1631" spans="1:62" x14ac:dyDescent="0.2">
      <c r="C1631" s="195">
        <v>44637</v>
      </c>
      <c r="D1631" s="55">
        <v>280</v>
      </c>
      <c r="E1631" s="55" t="s">
        <v>3188</v>
      </c>
      <c r="F1631" s="55" t="s">
        <v>291</v>
      </c>
      <c r="G1631" s="55" t="s">
        <v>480</v>
      </c>
      <c r="H1631" s="50" t="s">
        <v>224</v>
      </c>
    </row>
    <row r="1632" spans="1:62" x14ac:dyDescent="0.2">
      <c r="C1632" s="195">
        <v>44636</v>
      </c>
      <c r="D1632" s="55">
        <v>260</v>
      </c>
      <c r="E1632" s="55" t="s">
        <v>3189</v>
      </c>
      <c r="F1632" s="55" t="s">
        <v>192</v>
      </c>
      <c r="G1632" s="55" t="s">
        <v>258</v>
      </c>
      <c r="H1632" s="50" t="s">
        <v>3190</v>
      </c>
    </row>
    <row r="1633" spans="1:62" x14ac:dyDescent="0.2">
      <c r="C1633" s="195">
        <v>44643</v>
      </c>
      <c r="D1633" s="55">
        <v>280</v>
      </c>
      <c r="E1633" s="55" t="s">
        <v>3191</v>
      </c>
      <c r="F1633" s="55" t="s">
        <v>206</v>
      </c>
      <c r="G1633" s="55" t="s">
        <v>3192</v>
      </c>
      <c r="H1633" s="50" t="s">
        <v>3193</v>
      </c>
    </row>
    <row r="1634" spans="1:62" x14ac:dyDescent="0.2">
      <c r="C1634" s="195">
        <v>44651</v>
      </c>
      <c r="D1634" s="55">
        <v>260</v>
      </c>
      <c r="E1634" s="55" t="s">
        <v>3194</v>
      </c>
      <c r="F1634" s="55" t="s">
        <v>210</v>
      </c>
      <c r="G1634" s="55" t="s">
        <v>235</v>
      </c>
      <c r="H1634" s="50" t="s">
        <v>3195</v>
      </c>
    </row>
    <row r="1635" spans="1:62" x14ac:dyDescent="0.2">
      <c r="C1635" s="195">
        <v>44644</v>
      </c>
      <c r="D1635" s="55">
        <v>260</v>
      </c>
      <c r="E1635" s="55" t="s">
        <v>3196</v>
      </c>
      <c r="F1635" s="55" t="s">
        <v>202</v>
      </c>
      <c r="G1635" s="55" t="s">
        <v>276</v>
      </c>
      <c r="H1635" s="50" t="s">
        <v>3197</v>
      </c>
    </row>
    <row r="1636" spans="1:62" x14ac:dyDescent="0.2">
      <c r="C1636" s="195">
        <v>44649</v>
      </c>
      <c r="D1636" s="55">
        <v>260</v>
      </c>
      <c r="E1636" s="55" t="s">
        <v>3198</v>
      </c>
      <c r="F1636" s="55" t="s">
        <v>206</v>
      </c>
      <c r="G1636" s="55" t="s">
        <v>676</v>
      </c>
      <c r="H1636" s="50" t="s">
        <v>3199</v>
      </c>
    </row>
    <row r="1637" spans="1:62" x14ac:dyDescent="0.2">
      <c r="C1637" s="195">
        <v>44624</v>
      </c>
      <c r="D1637" s="55">
        <v>280</v>
      </c>
      <c r="E1637" s="55" t="s">
        <v>3200</v>
      </c>
      <c r="F1637" s="55" t="s">
        <v>231</v>
      </c>
      <c r="G1637" s="55" t="s">
        <v>421</v>
      </c>
      <c r="H1637" s="50" t="s">
        <v>3201</v>
      </c>
    </row>
    <row r="1638" spans="1:62" x14ac:dyDescent="0.2">
      <c r="C1638" s="195">
        <v>44650</v>
      </c>
      <c r="D1638" s="55">
        <v>280</v>
      </c>
      <c r="E1638" s="55" t="s">
        <v>3202</v>
      </c>
      <c r="F1638" s="55" t="s">
        <v>196</v>
      </c>
      <c r="G1638" s="55" t="s">
        <v>645</v>
      </c>
      <c r="H1638" s="50" t="s">
        <v>3203</v>
      </c>
    </row>
    <row r="1639" spans="1:62" x14ac:dyDescent="0.2">
      <c r="C1639" s="195">
        <v>44627</v>
      </c>
      <c r="D1639" s="55">
        <v>280</v>
      </c>
      <c r="E1639" s="55" t="s">
        <v>3204</v>
      </c>
      <c r="F1639" s="55" t="s">
        <v>263</v>
      </c>
      <c r="G1639" s="55" t="s">
        <v>579</v>
      </c>
      <c r="H1639" s="50" t="s">
        <v>3205</v>
      </c>
    </row>
    <row r="1640" spans="1:62" x14ac:dyDescent="0.2">
      <c r="C1640" s="195">
        <v>44642</v>
      </c>
      <c r="D1640" s="55">
        <v>260</v>
      </c>
      <c r="E1640" s="55" t="s">
        <v>3206</v>
      </c>
      <c r="F1640" s="55" t="s">
        <v>263</v>
      </c>
      <c r="G1640" s="55" t="s">
        <v>506</v>
      </c>
      <c r="H1640" s="50" t="s">
        <v>3207</v>
      </c>
    </row>
    <row r="1641" spans="1:62" x14ac:dyDescent="0.2">
      <c r="A1641" s="57">
        <v>322</v>
      </c>
      <c r="B1641" t="s">
        <v>836</v>
      </c>
      <c r="C1641" s="195">
        <v>44649</v>
      </c>
      <c r="D1641" s="55">
        <v>280</v>
      </c>
      <c r="E1641" s="55" t="s">
        <v>3208</v>
      </c>
      <c r="F1641" s="55" t="s">
        <v>192</v>
      </c>
      <c r="G1641" s="55" t="s">
        <v>487</v>
      </c>
      <c r="H1641" s="50" t="s">
        <v>224</v>
      </c>
      <c r="I1641" s="46" t="s">
        <v>839</v>
      </c>
      <c r="J1641" s="52">
        <v>1</v>
      </c>
      <c r="K1641" s="52">
        <v>1</v>
      </c>
      <c r="O1641" s="1">
        <v>1</v>
      </c>
      <c r="S1641" s="1">
        <v>1</v>
      </c>
      <c r="W1641" s="1">
        <v>1</v>
      </c>
      <c r="AA1641" s="1">
        <v>1</v>
      </c>
      <c r="AG1641">
        <v>1</v>
      </c>
      <c r="AM1641">
        <v>1</v>
      </c>
      <c r="AN1641">
        <v>4</v>
      </c>
      <c r="AO1641">
        <v>4</v>
      </c>
      <c r="AP1641">
        <v>4</v>
      </c>
      <c r="AQ1641">
        <v>4</v>
      </c>
      <c r="AR1641">
        <v>4</v>
      </c>
      <c r="AS1641">
        <v>1</v>
      </c>
      <c r="AT1641">
        <v>1</v>
      </c>
      <c r="AU1641">
        <v>1</v>
      </c>
      <c r="AZ1641">
        <v>1</v>
      </c>
      <c r="BA1641">
        <v>1</v>
      </c>
      <c r="BB1641">
        <v>1</v>
      </c>
      <c r="BC1641">
        <v>1</v>
      </c>
      <c r="BD1641">
        <v>1</v>
      </c>
      <c r="BE1641">
        <v>1</v>
      </c>
      <c r="BJ1641">
        <v>1</v>
      </c>
    </row>
    <row r="1642" spans="1:62" x14ac:dyDescent="0.2">
      <c r="C1642" s="195">
        <v>44634</v>
      </c>
      <c r="D1642" s="55">
        <v>260</v>
      </c>
      <c r="E1642" s="55" t="s">
        <v>3209</v>
      </c>
      <c r="F1642" s="55" t="s">
        <v>210</v>
      </c>
      <c r="G1642" s="55" t="s">
        <v>496</v>
      </c>
      <c r="H1642" s="50" t="s">
        <v>3210</v>
      </c>
    </row>
    <row r="1643" spans="1:62" x14ac:dyDescent="0.2">
      <c r="C1643" s="195">
        <v>44649</v>
      </c>
      <c r="D1643" s="55">
        <v>280</v>
      </c>
      <c r="E1643" s="55" t="s">
        <v>3211</v>
      </c>
      <c r="F1643" s="55" t="s">
        <v>231</v>
      </c>
      <c r="G1643" s="55" t="s">
        <v>1098</v>
      </c>
      <c r="H1643" s="50" t="s">
        <v>3212</v>
      </c>
    </row>
    <row r="1644" spans="1:62" x14ac:dyDescent="0.2">
      <c r="C1644" s="195">
        <v>44629</v>
      </c>
      <c r="D1644" s="55">
        <v>260</v>
      </c>
      <c r="E1644" s="55" t="s">
        <v>3213</v>
      </c>
      <c r="F1644" s="55" t="s">
        <v>210</v>
      </c>
      <c r="G1644" s="55" t="s">
        <v>1572</v>
      </c>
      <c r="H1644" s="50" t="s">
        <v>3214</v>
      </c>
    </row>
    <row r="1645" spans="1:62" x14ac:dyDescent="0.2">
      <c r="C1645" s="195">
        <v>44629</v>
      </c>
      <c r="D1645" s="55">
        <v>260</v>
      </c>
      <c r="E1645" s="55" t="s">
        <v>3215</v>
      </c>
      <c r="F1645" s="55" t="s">
        <v>196</v>
      </c>
      <c r="G1645" s="55" t="s">
        <v>352</v>
      </c>
      <c r="H1645" s="50" t="s">
        <v>3216</v>
      </c>
    </row>
    <row r="1646" spans="1:62" x14ac:dyDescent="0.2">
      <c r="C1646" s="195">
        <v>44651</v>
      </c>
      <c r="D1646" s="55">
        <v>260</v>
      </c>
      <c r="E1646" s="55" t="s">
        <v>3217</v>
      </c>
      <c r="F1646" s="55" t="s">
        <v>231</v>
      </c>
      <c r="G1646" s="55" t="s">
        <v>3096</v>
      </c>
      <c r="H1646" s="50" t="s">
        <v>3218</v>
      </c>
    </row>
    <row r="1647" spans="1:62" x14ac:dyDescent="0.2">
      <c r="C1647" s="195">
        <v>44638</v>
      </c>
      <c r="D1647" s="55">
        <v>280</v>
      </c>
      <c r="E1647" s="55" t="s">
        <v>3219</v>
      </c>
      <c r="F1647" s="55" t="s">
        <v>231</v>
      </c>
      <c r="G1647" s="55" t="s">
        <v>371</v>
      </c>
      <c r="H1647" s="50" t="s">
        <v>224</v>
      </c>
    </row>
    <row r="1648" spans="1:62" x14ac:dyDescent="0.2">
      <c r="C1648" s="195">
        <v>44648</v>
      </c>
      <c r="D1648" s="55">
        <v>280</v>
      </c>
      <c r="E1648" s="55" t="s">
        <v>3220</v>
      </c>
      <c r="F1648" s="55" t="s">
        <v>291</v>
      </c>
      <c r="G1648" s="55" t="s">
        <v>2723</v>
      </c>
    </row>
    <row r="1649" spans="1:9" x14ac:dyDescent="0.2">
      <c r="A1649" s="57">
        <v>322</v>
      </c>
      <c r="B1649" t="s">
        <v>836</v>
      </c>
      <c r="C1649" s="195">
        <v>44629</v>
      </c>
      <c r="D1649" s="55">
        <v>260</v>
      </c>
      <c r="E1649" s="55" t="s">
        <v>3221</v>
      </c>
      <c r="F1649" s="55" t="s">
        <v>192</v>
      </c>
      <c r="G1649" s="55" t="s">
        <v>401</v>
      </c>
      <c r="H1649" s="50" t="s">
        <v>3222</v>
      </c>
      <c r="I1649" s="46" t="s">
        <v>837</v>
      </c>
    </row>
    <row r="1650" spans="1:9" x14ac:dyDescent="0.2">
      <c r="C1650" s="195">
        <v>44624</v>
      </c>
      <c r="D1650" s="55">
        <v>260</v>
      </c>
      <c r="E1650" s="55" t="s">
        <v>3223</v>
      </c>
      <c r="F1650" s="55" t="s">
        <v>390</v>
      </c>
      <c r="G1650" s="55" t="s">
        <v>1446</v>
      </c>
      <c r="H1650" s="50" t="s">
        <v>3224</v>
      </c>
    </row>
    <row r="1651" spans="1:9" x14ac:dyDescent="0.2">
      <c r="C1651" s="195">
        <v>44642</v>
      </c>
      <c r="D1651" s="55">
        <v>260</v>
      </c>
      <c r="E1651" s="55" t="s">
        <v>3225</v>
      </c>
      <c r="F1651" s="55" t="s">
        <v>192</v>
      </c>
      <c r="G1651" s="55" t="s">
        <v>640</v>
      </c>
      <c r="H1651" s="50" t="s">
        <v>3226</v>
      </c>
    </row>
    <row r="1652" spans="1:9" x14ac:dyDescent="0.2">
      <c r="C1652" s="195">
        <v>44644</v>
      </c>
      <c r="D1652" s="55">
        <v>260</v>
      </c>
      <c r="E1652" s="55" t="s">
        <v>3227</v>
      </c>
      <c r="F1652" s="55" t="s">
        <v>263</v>
      </c>
      <c r="G1652" s="55" t="s">
        <v>426</v>
      </c>
      <c r="H1652" s="50" t="s">
        <v>224</v>
      </c>
    </row>
    <row r="1653" spans="1:9" x14ac:dyDescent="0.2">
      <c r="C1653" s="195">
        <v>44651</v>
      </c>
      <c r="D1653" s="55">
        <v>280</v>
      </c>
      <c r="E1653" s="55" t="s">
        <v>3228</v>
      </c>
      <c r="F1653" s="55" t="s">
        <v>263</v>
      </c>
      <c r="G1653" s="55" t="s">
        <v>579</v>
      </c>
      <c r="H1653" s="50" t="s">
        <v>224</v>
      </c>
    </row>
    <row r="1654" spans="1:9" x14ac:dyDescent="0.2">
      <c r="C1654" s="195">
        <v>44634</v>
      </c>
      <c r="D1654" s="55">
        <v>280</v>
      </c>
      <c r="E1654" s="55" t="s">
        <v>3229</v>
      </c>
      <c r="F1654" s="55" t="s">
        <v>219</v>
      </c>
      <c r="G1654" s="55" t="s">
        <v>220</v>
      </c>
      <c r="H1654" s="50" t="s">
        <v>3230</v>
      </c>
    </row>
    <row r="1655" spans="1:9" x14ac:dyDescent="0.2">
      <c r="C1655" s="195">
        <v>44624</v>
      </c>
      <c r="D1655" s="55">
        <v>260</v>
      </c>
      <c r="E1655" s="55" t="s">
        <v>3231</v>
      </c>
      <c r="F1655" s="55" t="s">
        <v>219</v>
      </c>
      <c r="G1655" s="55" t="s">
        <v>223</v>
      </c>
      <c r="H1655" s="50" t="s">
        <v>3232</v>
      </c>
    </row>
    <row r="1656" spans="1:9" x14ac:dyDescent="0.2">
      <c r="C1656" s="195">
        <v>44642</v>
      </c>
      <c r="D1656" s="55">
        <v>280</v>
      </c>
      <c r="E1656" s="55" t="s">
        <v>3233</v>
      </c>
      <c r="F1656" s="55" t="s">
        <v>390</v>
      </c>
      <c r="G1656" s="55" t="s">
        <v>408</v>
      </c>
      <c r="H1656" s="50" t="s">
        <v>3234</v>
      </c>
    </row>
    <row r="1657" spans="1:9" x14ac:dyDescent="0.2">
      <c r="C1657" s="195">
        <v>44622</v>
      </c>
      <c r="D1657" s="55">
        <v>260</v>
      </c>
      <c r="E1657" s="55" t="s">
        <v>3235</v>
      </c>
      <c r="F1657" s="55" t="s">
        <v>196</v>
      </c>
      <c r="G1657" s="55" t="s">
        <v>352</v>
      </c>
      <c r="H1657" s="50" t="s">
        <v>3236</v>
      </c>
    </row>
    <row r="1658" spans="1:9" x14ac:dyDescent="0.2">
      <c r="C1658" s="195">
        <v>44629</v>
      </c>
      <c r="D1658" s="55">
        <v>280</v>
      </c>
      <c r="E1658" s="55" t="s">
        <v>3237</v>
      </c>
      <c r="F1658" s="55" t="s">
        <v>202</v>
      </c>
      <c r="G1658" s="55" t="s">
        <v>297</v>
      </c>
      <c r="H1658" s="50" t="s">
        <v>3238</v>
      </c>
    </row>
    <row r="1659" spans="1:9" x14ac:dyDescent="0.2">
      <c r="C1659" s="195">
        <v>44638</v>
      </c>
      <c r="D1659" s="55">
        <v>280</v>
      </c>
      <c r="E1659" s="55" t="s">
        <v>3239</v>
      </c>
      <c r="F1659" s="55" t="s">
        <v>244</v>
      </c>
      <c r="G1659" s="55" t="s">
        <v>1085</v>
      </c>
      <c r="H1659" s="50" t="s">
        <v>3240</v>
      </c>
    </row>
    <row r="1660" spans="1:9" x14ac:dyDescent="0.2">
      <c r="C1660" s="195">
        <v>44630</v>
      </c>
      <c r="D1660" s="55">
        <v>280</v>
      </c>
      <c r="E1660" s="55" t="s">
        <v>3241</v>
      </c>
      <c r="F1660" s="55" t="s">
        <v>263</v>
      </c>
      <c r="G1660" s="55" t="s">
        <v>3242</v>
      </c>
      <c r="H1660" s="50" t="s">
        <v>3243</v>
      </c>
    </row>
    <row r="1661" spans="1:9" x14ac:dyDescent="0.2">
      <c r="A1661" s="57">
        <v>322</v>
      </c>
      <c r="B1661" t="s">
        <v>836</v>
      </c>
      <c r="C1661" s="195">
        <v>44650</v>
      </c>
      <c r="D1661" s="55">
        <v>280</v>
      </c>
      <c r="E1661" s="55" t="s">
        <v>3244</v>
      </c>
      <c r="F1661" s="55" t="s">
        <v>263</v>
      </c>
      <c r="G1661" s="55" t="s">
        <v>613</v>
      </c>
      <c r="H1661" s="50" t="s">
        <v>3245</v>
      </c>
      <c r="I1661" s="46" t="s">
        <v>837</v>
      </c>
    </row>
    <row r="1662" spans="1:9" x14ac:dyDescent="0.2">
      <c r="A1662" s="57">
        <v>322</v>
      </c>
      <c r="B1662" t="s">
        <v>836</v>
      </c>
      <c r="C1662" s="195">
        <v>44628</v>
      </c>
      <c r="D1662" s="55">
        <v>280</v>
      </c>
      <c r="E1662" s="55" t="s">
        <v>3246</v>
      </c>
      <c r="F1662" s="55" t="s">
        <v>263</v>
      </c>
      <c r="G1662" s="55" t="s">
        <v>1005</v>
      </c>
      <c r="H1662" s="50" t="s">
        <v>3247</v>
      </c>
      <c r="I1662" s="46" t="s">
        <v>837</v>
      </c>
    </row>
    <row r="1663" spans="1:9" x14ac:dyDescent="0.2">
      <c r="A1663" s="57">
        <v>322</v>
      </c>
      <c r="B1663" t="s">
        <v>836</v>
      </c>
      <c r="C1663" s="195">
        <v>44648</v>
      </c>
      <c r="D1663" s="55">
        <v>260</v>
      </c>
      <c r="E1663" s="55" t="s">
        <v>3248</v>
      </c>
      <c r="F1663" s="55" t="s">
        <v>202</v>
      </c>
      <c r="G1663" s="55" t="s">
        <v>297</v>
      </c>
      <c r="H1663" s="50" t="s">
        <v>3249</v>
      </c>
      <c r="I1663" s="46" t="s">
        <v>837</v>
      </c>
    </row>
    <row r="1664" spans="1:9" x14ac:dyDescent="0.2">
      <c r="C1664" s="195">
        <v>44648</v>
      </c>
      <c r="D1664" s="55">
        <v>260</v>
      </c>
      <c r="E1664" s="55" t="s">
        <v>3250</v>
      </c>
      <c r="F1664" s="55" t="s">
        <v>219</v>
      </c>
      <c r="G1664" s="55" t="s">
        <v>540</v>
      </c>
      <c r="H1664" s="50" t="s">
        <v>224</v>
      </c>
    </row>
    <row r="1665" spans="1:62" x14ac:dyDescent="0.2">
      <c r="C1665" s="195">
        <v>44651</v>
      </c>
      <c r="D1665" s="55">
        <v>280</v>
      </c>
      <c r="E1665" s="55" t="s">
        <v>3251</v>
      </c>
      <c r="F1665" s="55" t="s">
        <v>231</v>
      </c>
      <c r="G1665" s="55" t="s">
        <v>1098</v>
      </c>
      <c r="H1665" s="50" t="s">
        <v>3252</v>
      </c>
    </row>
    <row r="1666" spans="1:62" x14ac:dyDescent="0.2">
      <c r="C1666" s="195">
        <v>44651</v>
      </c>
      <c r="D1666" s="55">
        <v>260</v>
      </c>
      <c r="E1666" s="55" t="s">
        <v>3253</v>
      </c>
      <c r="F1666" s="55" t="s">
        <v>291</v>
      </c>
      <c r="G1666" s="55" t="s">
        <v>1215</v>
      </c>
      <c r="H1666" s="50" t="s">
        <v>3254</v>
      </c>
    </row>
    <row r="1667" spans="1:62" x14ac:dyDescent="0.2">
      <c r="C1667" s="195">
        <v>44649</v>
      </c>
      <c r="D1667" s="55">
        <v>260</v>
      </c>
      <c r="E1667" s="55" t="s">
        <v>3255</v>
      </c>
      <c r="F1667" s="55" t="s">
        <v>267</v>
      </c>
      <c r="G1667" s="55" t="s">
        <v>813</v>
      </c>
      <c r="H1667" s="50" t="s">
        <v>224</v>
      </c>
    </row>
    <row r="1668" spans="1:62" x14ac:dyDescent="0.2">
      <c r="A1668" s="57">
        <v>322</v>
      </c>
      <c r="B1668" t="s">
        <v>836</v>
      </c>
      <c r="C1668" s="195">
        <v>44636</v>
      </c>
      <c r="D1668" s="55">
        <v>280</v>
      </c>
      <c r="E1668" s="55" t="s">
        <v>3256</v>
      </c>
      <c r="F1668" s="55" t="s">
        <v>202</v>
      </c>
      <c r="G1668" s="55" t="s">
        <v>341</v>
      </c>
      <c r="H1668" s="50" t="s">
        <v>3257</v>
      </c>
      <c r="I1668" s="46" t="s">
        <v>837</v>
      </c>
    </row>
    <row r="1669" spans="1:62" x14ac:dyDescent="0.2">
      <c r="C1669" s="195">
        <v>44650</v>
      </c>
      <c r="D1669" s="55">
        <v>260</v>
      </c>
      <c r="E1669" s="55" t="s">
        <v>3258</v>
      </c>
      <c r="F1669" s="55" t="s">
        <v>267</v>
      </c>
      <c r="G1669" s="55" t="s">
        <v>442</v>
      </c>
      <c r="H1669" s="50" t="s">
        <v>3259</v>
      </c>
    </row>
    <row r="1670" spans="1:62" x14ac:dyDescent="0.2">
      <c r="C1670" s="195">
        <v>44621</v>
      </c>
      <c r="D1670" s="55">
        <v>260</v>
      </c>
      <c r="E1670" s="55" t="s">
        <v>3260</v>
      </c>
      <c r="F1670" s="55" t="s">
        <v>219</v>
      </c>
      <c r="G1670" s="55" t="s">
        <v>220</v>
      </c>
      <c r="H1670" s="50" t="s">
        <v>3261</v>
      </c>
    </row>
    <row r="1671" spans="1:62" x14ac:dyDescent="0.2">
      <c r="C1671" s="195">
        <v>44623</v>
      </c>
      <c r="D1671" s="55">
        <v>280</v>
      </c>
      <c r="E1671" s="55" t="s">
        <v>3262</v>
      </c>
      <c r="F1671" s="55" t="s">
        <v>231</v>
      </c>
      <c r="G1671" s="55" t="s">
        <v>482</v>
      </c>
      <c r="H1671" s="50" t="s">
        <v>3263</v>
      </c>
    </row>
    <row r="1672" spans="1:62" x14ac:dyDescent="0.2">
      <c r="C1672" s="195">
        <v>44651</v>
      </c>
      <c r="D1672" s="55">
        <v>280</v>
      </c>
      <c r="E1672" s="55" t="s">
        <v>3264</v>
      </c>
      <c r="F1672" s="55" t="s">
        <v>263</v>
      </c>
      <c r="G1672" s="55" t="s">
        <v>3265</v>
      </c>
      <c r="H1672" s="50" t="s">
        <v>3266</v>
      </c>
    </row>
    <row r="1673" spans="1:62" x14ac:dyDescent="0.2">
      <c r="C1673" s="195">
        <v>44636</v>
      </c>
      <c r="D1673" s="55">
        <v>280</v>
      </c>
      <c r="E1673" s="55" t="s">
        <v>3267</v>
      </c>
      <c r="F1673" s="55" t="s">
        <v>244</v>
      </c>
      <c r="G1673" s="55" t="s">
        <v>696</v>
      </c>
      <c r="H1673" s="50" t="s">
        <v>224</v>
      </c>
    </row>
    <row r="1674" spans="1:62" x14ac:dyDescent="0.2">
      <c r="C1674" s="195">
        <v>44634</v>
      </c>
      <c r="D1674" s="55">
        <v>280</v>
      </c>
      <c r="E1674" s="55" t="s">
        <v>3268</v>
      </c>
      <c r="F1674" s="55" t="s">
        <v>202</v>
      </c>
      <c r="G1674" s="55" t="s">
        <v>302</v>
      </c>
      <c r="H1674" s="50" t="s">
        <v>224</v>
      </c>
    </row>
    <row r="1675" spans="1:62" x14ac:dyDescent="0.2">
      <c r="C1675" s="195">
        <v>44649</v>
      </c>
      <c r="D1675" s="55">
        <v>280</v>
      </c>
      <c r="E1675" s="55" t="s">
        <v>3269</v>
      </c>
      <c r="F1675" s="55" t="s">
        <v>196</v>
      </c>
      <c r="G1675" s="55" t="s">
        <v>197</v>
      </c>
      <c r="H1675" s="50" t="s">
        <v>3270</v>
      </c>
    </row>
    <row r="1676" spans="1:62" x14ac:dyDescent="0.2">
      <c r="A1676" s="57">
        <v>322</v>
      </c>
      <c r="B1676" s="162" t="s">
        <v>836</v>
      </c>
      <c r="C1676" s="195">
        <v>44641</v>
      </c>
      <c r="D1676" s="55">
        <v>260</v>
      </c>
      <c r="E1676" s="55" t="s">
        <v>3271</v>
      </c>
      <c r="F1676" s="55" t="s">
        <v>196</v>
      </c>
      <c r="G1676" s="55" t="s">
        <v>361</v>
      </c>
      <c r="I1676" s="46" t="s">
        <v>839</v>
      </c>
      <c r="J1676" s="52">
        <v>2</v>
      </c>
      <c r="K1676" s="52">
        <v>2</v>
      </c>
      <c r="O1676" s="1">
        <v>2</v>
      </c>
      <c r="S1676" s="1">
        <v>2</v>
      </c>
      <c r="W1676" s="1">
        <v>2</v>
      </c>
      <c r="AA1676" s="1">
        <v>2</v>
      </c>
      <c r="AG1676">
        <v>2</v>
      </c>
      <c r="AM1676">
        <v>2</v>
      </c>
      <c r="AN1676">
        <v>4</v>
      </c>
      <c r="AO1676">
        <v>4</v>
      </c>
      <c r="AP1676">
        <v>4</v>
      </c>
      <c r="AQ1676">
        <v>4</v>
      </c>
      <c r="AR1676">
        <v>4</v>
      </c>
      <c r="AS1676">
        <v>2</v>
      </c>
      <c r="AT1676">
        <v>2</v>
      </c>
      <c r="AU1676">
        <v>2</v>
      </c>
      <c r="AZ1676">
        <v>1</v>
      </c>
      <c r="BA1676">
        <v>1</v>
      </c>
      <c r="BB1676">
        <v>1</v>
      </c>
      <c r="BC1676">
        <v>1</v>
      </c>
      <c r="BD1676">
        <v>1</v>
      </c>
      <c r="BE1676">
        <v>2</v>
      </c>
      <c r="BJ1676">
        <v>2</v>
      </c>
    </row>
    <row r="1677" spans="1:62" x14ac:dyDescent="0.2">
      <c r="C1677" s="195">
        <v>44629</v>
      </c>
      <c r="D1677" s="55">
        <v>280</v>
      </c>
      <c r="E1677" s="55" t="s">
        <v>3272</v>
      </c>
      <c r="F1677" s="55" t="s">
        <v>390</v>
      </c>
      <c r="G1677" s="55" t="s">
        <v>391</v>
      </c>
      <c r="H1677" s="50" t="s">
        <v>3273</v>
      </c>
    </row>
    <row r="1678" spans="1:62" x14ac:dyDescent="0.2">
      <c r="C1678" s="195">
        <v>44629</v>
      </c>
      <c r="D1678" s="55">
        <v>280</v>
      </c>
      <c r="E1678" s="55" t="s">
        <v>3274</v>
      </c>
      <c r="F1678" s="55" t="s">
        <v>263</v>
      </c>
      <c r="G1678" s="55" t="s">
        <v>633</v>
      </c>
      <c r="H1678" s="50" t="s">
        <v>224</v>
      </c>
    </row>
    <row r="1679" spans="1:62" x14ac:dyDescent="0.2">
      <c r="C1679" s="195">
        <v>44630</v>
      </c>
      <c r="D1679" s="55">
        <v>280</v>
      </c>
      <c r="E1679" s="55" t="s">
        <v>3275</v>
      </c>
      <c r="F1679" s="55" t="s">
        <v>196</v>
      </c>
      <c r="G1679" s="55" t="s">
        <v>645</v>
      </c>
      <c r="H1679" s="50" t="s">
        <v>3276</v>
      </c>
    </row>
    <row r="1680" spans="1:62" x14ac:dyDescent="0.2">
      <c r="C1680" s="195">
        <v>44638</v>
      </c>
      <c r="D1680" s="55">
        <v>280</v>
      </c>
      <c r="E1680" s="55" t="s">
        <v>3277</v>
      </c>
      <c r="F1680" s="55" t="s">
        <v>196</v>
      </c>
      <c r="G1680" s="55" t="s">
        <v>352</v>
      </c>
      <c r="H1680" s="50" t="s">
        <v>3278</v>
      </c>
    </row>
    <row r="1681" spans="1:9" x14ac:dyDescent="0.2">
      <c r="C1681" s="195">
        <v>44634</v>
      </c>
      <c r="D1681" s="55">
        <v>260</v>
      </c>
      <c r="E1681" s="55" t="s">
        <v>3279</v>
      </c>
      <c r="F1681" s="55" t="s">
        <v>267</v>
      </c>
      <c r="G1681" s="55" t="s">
        <v>268</v>
      </c>
      <c r="H1681" s="50" t="s">
        <v>224</v>
      </c>
    </row>
    <row r="1682" spans="1:9" x14ac:dyDescent="0.2">
      <c r="C1682" s="195">
        <v>44648</v>
      </c>
      <c r="D1682" s="55">
        <v>260</v>
      </c>
      <c r="E1682" s="55" t="s">
        <v>3280</v>
      </c>
      <c r="F1682" s="55" t="s">
        <v>244</v>
      </c>
      <c r="G1682" s="55" t="s">
        <v>767</v>
      </c>
      <c r="H1682" s="50" t="s">
        <v>3281</v>
      </c>
    </row>
    <row r="1683" spans="1:9" x14ac:dyDescent="0.2">
      <c r="A1683" s="57">
        <v>322</v>
      </c>
      <c r="B1683" t="s">
        <v>836</v>
      </c>
      <c r="C1683" s="195">
        <v>44651</v>
      </c>
      <c r="D1683" s="55">
        <v>280</v>
      </c>
      <c r="E1683" s="55" t="s">
        <v>3282</v>
      </c>
      <c r="F1683" s="55" t="s">
        <v>210</v>
      </c>
      <c r="G1683" s="55" t="s">
        <v>496</v>
      </c>
      <c r="H1683" s="50" t="s">
        <v>224</v>
      </c>
      <c r="I1683" s="46" t="s">
        <v>837</v>
      </c>
    </row>
    <row r="1684" spans="1:9" x14ac:dyDescent="0.2">
      <c r="C1684" s="195">
        <v>44627</v>
      </c>
      <c r="D1684" s="55">
        <v>260</v>
      </c>
      <c r="E1684" s="55" t="s">
        <v>3283</v>
      </c>
      <c r="F1684" s="55" t="s">
        <v>272</v>
      </c>
      <c r="G1684" s="55" t="s">
        <v>1914</v>
      </c>
      <c r="H1684" s="50" t="s">
        <v>3284</v>
      </c>
    </row>
    <row r="1685" spans="1:9" x14ac:dyDescent="0.2">
      <c r="C1685" s="195">
        <v>44634</v>
      </c>
      <c r="D1685" s="55">
        <v>280</v>
      </c>
      <c r="E1685" s="55" t="s">
        <v>3285</v>
      </c>
      <c r="F1685" s="55" t="s">
        <v>231</v>
      </c>
      <c r="G1685" s="55" t="s">
        <v>435</v>
      </c>
      <c r="H1685" s="50" t="s">
        <v>3286</v>
      </c>
    </row>
    <row r="1686" spans="1:9" x14ac:dyDescent="0.2">
      <c r="C1686" s="195">
        <v>44636</v>
      </c>
      <c r="D1686" s="55">
        <v>280</v>
      </c>
      <c r="E1686" s="55" t="s">
        <v>3287</v>
      </c>
      <c r="F1686" s="55" t="s">
        <v>390</v>
      </c>
      <c r="G1686" s="55" t="s">
        <v>391</v>
      </c>
      <c r="H1686" s="50" t="s">
        <v>224</v>
      </c>
    </row>
    <row r="1687" spans="1:9" x14ac:dyDescent="0.2">
      <c r="C1687" s="195">
        <v>44648</v>
      </c>
      <c r="D1687" s="55">
        <v>280</v>
      </c>
      <c r="E1687" s="55" t="s">
        <v>3288</v>
      </c>
      <c r="F1687" s="55" t="s">
        <v>196</v>
      </c>
      <c r="G1687" s="55" t="s">
        <v>352</v>
      </c>
      <c r="H1687" s="50" t="s">
        <v>3289</v>
      </c>
    </row>
    <row r="1688" spans="1:9" x14ac:dyDescent="0.2">
      <c r="C1688" s="195">
        <v>44628</v>
      </c>
      <c r="D1688" s="55">
        <v>280</v>
      </c>
      <c r="E1688" s="55" t="s">
        <v>3290</v>
      </c>
      <c r="F1688" s="55" t="s">
        <v>202</v>
      </c>
      <c r="G1688" s="55" t="s">
        <v>341</v>
      </c>
      <c r="H1688" s="50" t="s">
        <v>224</v>
      </c>
    </row>
    <row r="1689" spans="1:9" x14ac:dyDescent="0.2">
      <c r="C1689" s="195">
        <v>44638</v>
      </c>
      <c r="D1689" s="55">
        <v>260</v>
      </c>
      <c r="E1689" s="55" t="s">
        <v>3291</v>
      </c>
      <c r="F1689" s="55" t="s">
        <v>196</v>
      </c>
      <c r="G1689" s="55" t="s">
        <v>352</v>
      </c>
      <c r="H1689" s="50" t="s">
        <v>3292</v>
      </c>
    </row>
    <row r="1690" spans="1:9" x14ac:dyDescent="0.2">
      <c r="C1690" s="195">
        <v>44642</v>
      </c>
      <c r="D1690" s="55">
        <v>280</v>
      </c>
      <c r="E1690" s="55" t="s">
        <v>3293</v>
      </c>
      <c r="F1690" s="55" t="s">
        <v>390</v>
      </c>
      <c r="G1690" s="55" t="s">
        <v>408</v>
      </c>
      <c r="H1690" s="50" t="s">
        <v>3294</v>
      </c>
    </row>
    <row r="1691" spans="1:9" x14ac:dyDescent="0.2">
      <c r="C1691" s="195">
        <v>44648</v>
      </c>
      <c r="D1691" s="55">
        <v>280</v>
      </c>
      <c r="E1691" s="55" t="s">
        <v>3295</v>
      </c>
      <c r="F1691" s="55" t="s">
        <v>196</v>
      </c>
      <c r="G1691" s="55" t="s">
        <v>361</v>
      </c>
    </row>
    <row r="1692" spans="1:9" x14ac:dyDescent="0.2">
      <c r="C1692" s="195">
        <v>44629</v>
      </c>
      <c r="D1692" s="55">
        <v>280</v>
      </c>
      <c r="E1692" s="55" t="s">
        <v>3296</v>
      </c>
      <c r="F1692" s="55" t="s">
        <v>390</v>
      </c>
      <c r="G1692" s="55" t="s">
        <v>391</v>
      </c>
      <c r="H1692" s="50" t="s">
        <v>3297</v>
      </c>
    </row>
    <row r="1693" spans="1:9" x14ac:dyDescent="0.2">
      <c r="A1693" s="57">
        <v>322</v>
      </c>
      <c r="B1693" t="s">
        <v>836</v>
      </c>
      <c r="C1693" s="195">
        <v>44637</v>
      </c>
      <c r="D1693" s="55">
        <v>280</v>
      </c>
      <c r="E1693" s="55" t="s">
        <v>3298</v>
      </c>
      <c r="F1693" s="55" t="s">
        <v>231</v>
      </c>
      <c r="G1693" s="55" t="s">
        <v>421</v>
      </c>
      <c r="H1693" s="50" t="s">
        <v>224</v>
      </c>
      <c r="I1693" s="46" t="s">
        <v>837</v>
      </c>
    </row>
    <row r="1694" spans="1:9" x14ac:dyDescent="0.2">
      <c r="C1694" s="195">
        <v>44628</v>
      </c>
      <c r="D1694" s="55">
        <v>260</v>
      </c>
      <c r="E1694" s="55" t="s">
        <v>3299</v>
      </c>
      <c r="F1694" s="55" t="s">
        <v>210</v>
      </c>
      <c r="G1694" s="55" t="s">
        <v>418</v>
      </c>
      <c r="H1694" s="50" t="s">
        <v>3300</v>
      </c>
    </row>
    <row r="1695" spans="1:9" x14ac:dyDescent="0.2">
      <c r="C1695" s="195">
        <v>44644</v>
      </c>
      <c r="D1695" s="55">
        <v>280</v>
      </c>
      <c r="E1695" s="55" t="s">
        <v>3301</v>
      </c>
      <c r="F1695" s="55" t="s">
        <v>202</v>
      </c>
      <c r="G1695" s="55" t="s">
        <v>302</v>
      </c>
      <c r="H1695" s="50" t="s">
        <v>3302</v>
      </c>
    </row>
    <row r="1696" spans="1:9" x14ac:dyDescent="0.2">
      <c r="C1696" s="195">
        <v>44630</v>
      </c>
      <c r="D1696" s="55">
        <v>260</v>
      </c>
      <c r="E1696" s="55" t="s">
        <v>3303</v>
      </c>
      <c r="F1696" s="55" t="s">
        <v>192</v>
      </c>
      <c r="G1696" s="55" t="s">
        <v>640</v>
      </c>
      <c r="H1696" s="50" t="s">
        <v>3304</v>
      </c>
    </row>
    <row r="1697" spans="1:9" x14ac:dyDescent="0.2">
      <c r="C1697" s="195">
        <v>44650</v>
      </c>
      <c r="D1697" s="55">
        <v>280</v>
      </c>
      <c r="E1697" s="55" t="s">
        <v>3305</v>
      </c>
      <c r="F1697" s="55" t="s">
        <v>272</v>
      </c>
      <c r="G1697" s="55" t="s">
        <v>1914</v>
      </c>
      <c r="H1697" s="50" t="s">
        <v>3306</v>
      </c>
    </row>
    <row r="1698" spans="1:9" x14ac:dyDescent="0.2">
      <c r="C1698" s="195">
        <v>44648</v>
      </c>
      <c r="D1698" s="55">
        <v>280</v>
      </c>
      <c r="E1698" s="55" t="s">
        <v>3307</v>
      </c>
      <c r="F1698" s="55" t="s">
        <v>202</v>
      </c>
      <c r="G1698" s="55" t="s">
        <v>276</v>
      </c>
      <c r="H1698" s="50" t="s">
        <v>3308</v>
      </c>
    </row>
    <row r="1699" spans="1:9" x14ac:dyDescent="0.2">
      <c r="C1699" s="195">
        <v>44624</v>
      </c>
      <c r="D1699" s="55">
        <v>280</v>
      </c>
      <c r="E1699" s="55" t="s">
        <v>3309</v>
      </c>
      <c r="F1699" s="55" t="s">
        <v>219</v>
      </c>
      <c r="G1699" s="55" t="s">
        <v>220</v>
      </c>
      <c r="H1699" s="50" t="s">
        <v>3310</v>
      </c>
    </row>
    <row r="1700" spans="1:9" x14ac:dyDescent="0.2">
      <c r="C1700" s="195">
        <v>44645</v>
      </c>
      <c r="D1700" s="55">
        <v>260</v>
      </c>
      <c r="E1700" s="55" t="s">
        <v>3311</v>
      </c>
      <c r="F1700" s="55" t="s">
        <v>267</v>
      </c>
      <c r="G1700" s="55" t="s">
        <v>331</v>
      </c>
      <c r="H1700" s="50" t="s">
        <v>3312</v>
      </c>
    </row>
    <row r="1701" spans="1:9" x14ac:dyDescent="0.2">
      <c r="C1701" s="195">
        <v>44627</v>
      </c>
      <c r="D1701" s="55">
        <v>280</v>
      </c>
      <c r="E1701" s="55" t="s">
        <v>3313</v>
      </c>
      <c r="F1701" s="55" t="s">
        <v>196</v>
      </c>
      <c r="G1701" s="55" t="s">
        <v>349</v>
      </c>
      <c r="H1701" s="50" t="s">
        <v>3314</v>
      </c>
    </row>
    <row r="1702" spans="1:9" x14ac:dyDescent="0.2">
      <c r="C1702" s="195">
        <v>44645</v>
      </c>
      <c r="D1702" s="55">
        <v>260</v>
      </c>
      <c r="E1702" s="55" t="s">
        <v>3315</v>
      </c>
      <c r="F1702" s="55" t="s">
        <v>219</v>
      </c>
      <c r="G1702" s="55" t="s">
        <v>223</v>
      </c>
      <c r="H1702" s="50" t="s">
        <v>3316</v>
      </c>
    </row>
    <row r="1703" spans="1:9" x14ac:dyDescent="0.2">
      <c r="C1703" s="195">
        <v>44645</v>
      </c>
      <c r="D1703" s="55">
        <v>260</v>
      </c>
      <c r="E1703" s="55" t="s">
        <v>3317</v>
      </c>
      <c r="F1703" s="55" t="s">
        <v>196</v>
      </c>
      <c r="G1703" s="55" t="s">
        <v>197</v>
      </c>
      <c r="H1703" s="50" t="s">
        <v>3318</v>
      </c>
    </row>
    <row r="1704" spans="1:9" x14ac:dyDescent="0.2">
      <c r="C1704" s="195">
        <v>44631</v>
      </c>
      <c r="D1704" s="55">
        <v>260</v>
      </c>
      <c r="E1704" s="55" t="s">
        <v>3319</v>
      </c>
      <c r="F1704" s="55" t="s">
        <v>390</v>
      </c>
      <c r="G1704" s="55" t="s">
        <v>490</v>
      </c>
      <c r="H1704" s="50" t="s">
        <v>3320</v>
      </c>
    </row>
    <row r="1705" spans="1:9" x14ac:dyDescent="0.2">
      <c r="C1705" s="195">
        <v>44631</v>
      </c>
      <c r="D1705" s="55">
        <v>260</v>
      </c>
      <c r="E1705" s="55" t="s">
        <v>3321</v>
      </c>
      <c r="F1705" s="55" t="s">
        <v>244</v>
      </c>
      <c r="G1705" s="55" t="s">
        <v>1468</v>
      </c>
      <c r="H1705" s="50" t="s">
        <v>224</v>
      </c>
    </row>
    <row r="1706" spans="1:9" x14ac:dyDescent="0.2">
      <c r="C1706" s="195">
        <v>44627</v>
      </c>
      <c r="D1706" s="55">
        <v>260</v>
      </c>
      <c r="E1706" s="55" t="s">
        <v>3322</v>
      </c>
      <c r="F1706" s="55" t="s">
        <v>231</v>
      </c>
      <c r="G1706" s="55" t="s">
        <v>435</v>
      </c>
      <c r="H1706" s="50" t="s">
        <v>3323</v>
      </c>
    </row>
    <row r="1707" spans="1:9" x14ac:dyDescent="0.2">
      <c r="C1707" s="195">
        <v>44642</v>
      </c>
      <c r="D1707" s="55">
        <v>280</v>
      </c>
      <c r="E1707" s="55" t="s">
        <v>3324</v>
      </c>
      <c r="F1707" s="55" t="s">
        <v>231</v>
      </c>
      <c r="G1707" s="55" t="s">
        <v>435</v>
      </c>
      <c r="H1707" s="50" t="s">
        <v>3325</v>
      </c>
    </row>
    <row r="1708" spans="1:9" x14ac:dyDescent="0.2">
      <c r="C1708" s="195">
        <v>44622</v>
      </c>
      <c r="D1708" s="55">
        <v>260</v>
      </c>
      <c r="E1708" s="55" t="s">
        <v>3326</v>
      </c>
      <c r="F1708" s="55" t="s">
        <v>291</v>
      </c>
      <c r="G1708" s="55" t="s">
        <v>643</v>
      </c>
    </row>
    <row r="1709" spans="1:9" x14ac:dyDescent="0.2">
      <c r="C1709" s="195">
        <v>44624</v>
      </c>
      <c r="D1709" s="55">
        <v>280</v>
      </c>
      <c r="E1709" s="55" t="s">
        <v>3327</v>
      </c>
      <c r="F1709" s="55" t="s">
        <v>231</v>
      </c>
      <c r="G1709" s="55" t="s">
        <v>232</v>
      </c>
      <c r="H1709" s="50" t="s">
        <v>3328</v>
      </c>
    </row>
    <row r="1710" spans="1:9" x14ac:dyDescent="0.2">
      <c r="C1710" s="195">
        <v>44624</v>
      </c>
      <c r="D1710" s="55">
        <v>280</v>
      </c>
      <c r="E1710" s="55" t="s">
        <v>3329</v>
      </c>
      <c r="F1710" s="55" t="s">
        <v>231</v>
      </c>
      <c r="G1710" s="55" t="s">
        <v>232</v>
      </c>
      <c r="H1710" s="50" t="s">
        <v>3330</v>
      </c>
    </row>
    <row r="1711" spans="1:9" x14ac:dyDescent="0.2">
      <c r="A1711" s="57">
        <v>322</v>
      </c>
      <c r="B1711" t="s">
        <v>836</v>
      </c>
      <c r="C1711" s="195">
        <v>44643</v>
      </c>
      <c r="D1711" s="55">
        <v>260</v>
      </c>
      <c r="E1711" s="55" t="s">
        <v>3331</v>
      </c>
      <c r="F1711" s="55" t="s">
        <v>196</v>
      </c>
      <c r="G1711" s="55" t="s">
        <v>352</v>
      </c>
      <c r="H1711" s="50" t="s">
        <v>3332</v>
      </c>
      <c r="I1711" s="46" t="s">
        <v>837</v>
      </c>
    </row>
    <row r="1712" spans="1:9" x14ac:dyDescent="0.2">
      <c r="C1712" s="195">
        <v>44650</v>
      </c>
      <c r="D1712" s="55">
        <v>280</v>
      </c>
      <c r="E1712" s="55" t="s">
        <v>3333</v>
      </c>
      <c r="F1712" s="55" t="s">
        <v>263</v>
      </c>
      <c r="G1712" s="55" t="s">
        <v>1360</v>
      </c>
      <c r="H1712" s="50" t="s">
        <v>3334</v>
      </c>
    </row>
    <row r="1713" spans="1:62" x14ac:dyDescent="0.2">
      <c r="C1713" s="195">
        <v>44627</v>
      </c>
      <c r="D1713" s="55">
        <v>280</v>
      </c>
      <c r="E1713" s="55" t="s">
        <v>3335</v>
      </c>
      <c r="F1713" s="55" t="s">
        <v>231</v>
      </c>
      <c r="G1713" s="55" t="s">
        <v>255</v>
      </c>
      <c r="H1713" s="50" t="s">
        <v>3336</v>
      </c>
    </row>
    <row r="1714" spans="1:62" x14ac:dyDescent="0.2">
      <c r="C1714" s="195">
        <v>44627</v>
      </c>
      <c r="D1714" s="55">
        <v>260</v>
      </c>
      <c r="E1714" s="55" t="s">
        <v>3337</v>
      </c>
      <c r="F1714" s="55" t="s">
        <v>210</v>
      </c>
      <c r="G1714" s="55" t="s">
        <v>883</v>
      </c>
      <c r="H1714" s="50" t="s">
        <v>3338</v>
      </c>
    </row>
    <row r="1715" spans="1:62" x14ac:dyDescent="0.2">
      <c r="C1715" s="195">
        <v>44629</v>
      </c>
      <c r="D1715" s="55">
        <v>280</v>
      </c>
      <c r="E1715" s="55" t="s">
        <v>3339</v>
      </c>
      <c r="F1715" s="55" t="s">
        <v>231</v>
      </c>
      <c r="G1715" s="55" t="s">
        <v>1098</v>
      </c>
      <c r="H1715" s="50" t="s">
        <v>3340</v>
      </c>
    </row>
    <row r="1716" spans="1:62" x14ac:dyDescent="0.2">
      <c r="C1716" s="195">
        <v>44634</v>
      </c>
      <c r="D1716" s="55">
        <v>260</v>
      </c>
      <c r="E1716" s="55" t="s">
        <v>3341</v>
      </c>
      <c r="F1716" s="55" t="s">
        <v>192</v>
      </c>
      <c r="G1716" s="55" t="s">
        <v>487</v>
      </c>
      <c r="H1716" s="50" t="s">
        <v>224</v>
      </c>
    </row>
    <row r="1717" spans="1:62" x14ac:dyDescent="0.2">
      <c r="C1717" s="195">
        <v>44628</v>
      </c>
      <c r="D1717" s="55">
        <v>280</v>
      </c>
      <c r="E1717" s="55" t="s">
        <v>3342</v>
      </c>
      <c r="F1717" s="55" t="s">
        <v>244</v>
      </c>
      <c r="G1717" s="55" t="s">
        <v>294</v>
      </c>
      <c r="H1717" s="50" t="s">
        <v>3343</v>
      </c>
    </row>
    <row r="1718" spans="1:62" x14ac:dyDescent="0.2">
      <c r="C1718" s="195">
        <v>44621</v>
      </c>
      <c r="D1718" s="55">
        <v>260</v>
      </c>
      <c r="E1718" s="55" t="s">
        <v>3344</v>
      </c>
      <c r="F1718" s="55" t="s">
        <v>219</v>
      </c>
      <c r="G1718" s="55" t="s">
        <v>540</v>
      </c>
      <c r="H1718" s="50" t="s">
        <v>3345</v>
      </c>
    </row>
    <row r="1719" spans="1:62" x14ac:dyDescent="0.2">
      <c r="A1719" s="57">
        <v>322</v>
      </c>
      <c r="B1719" t="s">
        <v>836</v>
      </c>
      <c r="C1719" s="195">
        <v>44648</v>
      </c>
      <c r="D1719" s="55">
        <v>260</v>
      </c>
      <c r="E1719" s="55" t="s">
        <v>3346</v>
      </c>
      <c r="F1719" s="55" t="s">
        <v>192</v>
      </c>
      <c r="G1719" s="55" t="s">
        <v>324</v>
      </c>
      <c r="H1719" s="50" t="s">
        <v>3347</v>
      </c>
      <c r="I1719" s="46" t="s">
        <v>837</v>
      </c>
    </row>
    <row r="1720" spans="1:62" x14ac:dyDescent="0.2">
      <c r="A1720" s="57">
        <v>322</v>
      </c>
      <c r="B1720" s="162" t="s">
        <v>836</v>
      </c>
      <c r="C1720" s="195">
        <v>44621</v>
      </c>
      <c r="D1720" s="55">
        <v>260</v>
      </c>
      <c r="E1720" s="55" t="s">
        <v>3348</v>
      </c>
      <c r="F1720" s="55" t="s">
        <v>263</v>
      </c>
      <c r="G1720" s="55" t="s">
        <v>892</v>
      </c>
      <c r="H1720" s="50" t="s">
        <v>224</v>
      </c>
      <c r="I1720" s="46" t="s">
        <v>839</v>
      </c>
      <c r="J1720" s="52">
        <v>1</v>
      </c>
      <c r="K1720" s="52">
        <v>1</v>
      </c>
      <c r="O1720" s="1">
        <v>1</v>
      </c>
      <c r="S1720" s="1">
        <v>5</v>
      </c>
      <c r="W1720" s="1">
        <v>1</v>
      </c>
      <c r="AA1720" s="1">
        <v>1</v>
      </c>
      <c r="AG1720">
        <v>1</v>
      </c>
      <c r="AM1720">
        <v>4</v>
      </c>
      <c r="AS1720">
        <v>4</v>
      </c>
      <c r="AT1720">
        <v>1</v>
      </c>
      <c r="AU1720">
        <v>1</v>
      </c>
      <c r="AZ1720">
        <v>1</v>
      </c>
      <c r="BA1720">
        <v>1</v>
      </c>
      <c r="BB1720">
        <v>1</v>
      </c>
      <c r="BC1720">
        <v>1</v>
      </c>
      <c r="BD1720">
        <v>1</v>
      </c>
      <c r="BE1720">
        <v>1</v>
      </c>
      <c r="BJ1720">
        <v>1</v>
      </c>
    </row>
    <row r="1721" spans="1:62" x14ac:dyDescent="0.2">
      <c r="C1721" s="195">
        <v>44631</v>
      </c>
      <c r="D1721" s="55">
        <v>280</v>
      </c>
      <c r="E1721" s="55" t="s">
        <v>3349</v>
      </c>
      <c r="F1721" s="55" t="s">
        <v>231</v>
      </c>
      <c r="G1721" s="55" t="s">
        <v>232</v>
      </c>
      <c r="H1721" s="50" t="s">
        <v>3350</v>
      </c>
    </row>
    <row r="1722" spans="1:62" x14ac:dyDescent="0.2">
      <c r="C1722" s="195">
        <v>44651</v>
      </c>
      <c r="D1722" s="55">
        <v>280</v>
      </c>
      <c r="E1722" s="55" t="s">
        <v>3351</v>
      </c>
      <c r="F1722" s="55" t="s">
        <v>206</v>
      </c>
      <c r="G1722" s="55" t="s">
        <v>758</v>
      </c>
      <c r="H1722" s="50" t="s">
        <v>3352</v>
      </c>
    </row>
    <row r="1723" spans="1:62" x14ac:dyDescent="0.2">
      <c r="C1723" s="195">
        <v>44648</v>
      </c>
      <c r="D1723" s="55">
        <v>280</v>
      </c>
      <c r="E1723" s="55" t="s">
        <v>3353</v>
      </c>
      <c r="F1723" s="55" t="s">
        <v>202</v>
      </c>
      <c r="G1723" s="55" t="s">
        <v>344</v>
      </c>
      <c r="H1723" s="50" t="s">
        <v>224</v>
      </c>
    </row>
    <row r="1724" spans="1:62" x14ac:dyDescent="0.2">
      <c r="C1724" s="195">
        <v>44651</v>
      </c>
      <c r="D1724" s="55">
        <v>280</v>
      </c>
      <c r="E1724" s="55" t="s">
        <v>3354</v>
      </c>
      <c r="F1724" s="55" t="s">
        <v>210</v>
      </c>
      <c r="G1724" s="55" t="s">
        <v>211</v>
      </c>
      <c r="H1724" s="50" t="s">
        <v>224</v>
      </c>
    </row>
    <row r="1725" spans="1:62" x14ac:dyDescent="0.2">
      <c r="C1725" s="195">
        <v>44649</v>
      </c>
      <c r="D1725" s="55">
        <v>280</v>
      </c>
      <c r="E1725" s="55" t="s">
        <v>3355</v>
      </c>
      <c r="F1725" s="55" t="s">
        <v>231</v>
      </c>
      <c r="G1725" s="55" t="s">
        <v>3096</v>
      </c>
      <c r="H1725" s="50" t="s">
        <v>3356</v>
      </c>
    </row>
    <row r="1726" spans="1:62" x14ac:dyDescent="0.2">
      <c r="C1726" s="195">
        <v>44649</v>
      </c>
      <c r="D1726" s="55">
        <v>260</v>
      </c>
      <c r="E1726" s="55" t="s">
        <v>3357</v>
      </c>
      <c r="F1726" s="55" t="s">
        <v>202</v>
      </c>
      <c r="G1726" s="55" t="s">
        <v>297</v>
      </c>
      <c r="H1726" s="50" t="s">
        <v>3358</v>
      </c>
    </row>
    <row r="1727" spans="1:62" x14ac:dyDescent="0.2">
      <c r="C1727" s="195">
        <v>44635</v>
      </c>
      <c r="D1727" s="55">
        <v>280</v>
      </c>
      <c r="E1727" s="55" t="s">
        <v>3359</v>
      </c>
      <c r="F1727" s="55" t="s">
        <v>263</v>
      </c>
      <c r="G1727" s="55" t="s">
        <v>506</v>
      </c>
      <c r="H1727" s="50" t="s">
        <v>224</v>
      </c>
    </row>
    <row r="1728" spans="1:62" x14ac:dyDescent="0.2">
      <c r="C1728" s="195">
        <v>44628</v>
      </c>
      <c r="D1728" s="55">
        <v>280</v>
      </c>
      <c r="E1728" s="55" t="s">
        <v>3360</v>
      </c>
      <c r="F1728" s="55" t="s">
        <v>244</v>
      </c>
      <c r="G1728" s="55" t="s">
        <v>767</v>
      </c>
      <c r="H1728" s="50" t="s">
        <v>3361</v>
      </c>
    </row>
    <row r="1729" spans="1:62" x14ac:dyDescent="0.2">
      <c r="A1729" s="57">
        <v>322</v>
      </c>
      <c r="B1729" t="s">
        <v>836</v>
      </c>
      <c r="C1729" s="195">
        <v>44634</v>
      </c>
      <c r="D1729" s="55">
        <v>260</v>
      </c>
      <c r="E1729" s="55" t="s">
        <v>3362</v>
      </c>
      <c r="F1729" s="55" t="s">
        <v>219</v>
      </c>
      <c r="G1729" s="55" t="s">
        <v>223</v>
      </c>
      <c r="H1729" s="50" t="s">
        <v>3363</v>
      </c>
      <c r="I1729" s="46" t="s">
        <v>837</v>
      </c>
    </row>
    <row r="1730" spans="1:62" x14ac:dyDescent="0.2">
      <c r="A1730" s="57">
        <v>322</v>
      </c>
      <c r="B1730" s="162" t="s">
        <v>836</v>
      </c>
      <c r="C1730" s="195">
        <v>44645</v>
      </c>
      <c r="D1730" s="55">
        <v>260</v>
      </c>
      <c r="E1730" s="55" t="s">
        <v>3364</v>
      </c>
      <c r="F1730" s="55" t="s">
        <v>219</v>
      </c>
      <c r="G1730" s="55" t="s">
        <v>1732</v>
      </c>
      <c r="H1730" s="50" t="s">
        <v>224</v>
      </c>
      <c r="I1730" s="46" t="s">
        <v>839</v>
      </c>
      <c r="J1730" s="52">
        <v>1</v>
      </c>
      <c r="K1730" s="52">
        <v>1</v>
      </c>
      <c r="O1730" s="1">
        <v>2</v>
      </c>
      <c r="S1730" s="1">
        <v>1</v>
      </c>
      <c r="W1730" s="1">
        <v>1</v>
      </c>
      <c r="AA1730" s="1">
        <v>5</v>
      </c>
      <c r="AG1730">
        <v>1</v>
      </c>
      <c r="AM1730">
        <v>4</v>
      </c>
      <c r="AS1730">
        <v>4</v>
      </c>
      <c r="AT1730">
        <v>1</v>
      </c>
      <c r="AU1730">
        <v>1</v>
      </c>
      <c r="AZ1730">
        <v>1</v>
      </c>
      <c r="BA1730">
        <v>1</v>
      </c>
      <c r="BB1730">
        <v>1</v>
      </c>
      <c r="BC1730">
        <v>1</v>
      </c>
      <c r="BD1730">
        <v>1</v>
      </c>
      <c r="BE1730">
        <v>5</v>
      </c>
      <c r="BJ1730">
        <v>1</v>
      </c>
    </row>
    <row r="1731" spans="1:62" x14ac:dyDescent="0.2">
      <c r="C1731" s="195">
        <v>44648</v>
      </c>
      <c r="D1731" s="55">
        <v>260</v>
      </c>
      <c r="E1731" s="55" t="s">
        <v>3365</v>
      </c>
      <c r="F1731" s="55" t="s">
        <v>272</v>
      </c>
      <c r="G1731" s="55" t="s">
        <v>273</v>
      </c>
      <c r="H1731" s="50" t="s">
        <v>3366</v>
      </c>
    </row>
    <row r="1732" spans="1:62" x14ac:dyDescent="0.2">
      <c r="C1732" s="195">
        <v>44635</v>
      </c>
      <c r="D1732" s="55">
        <v>280</v>
      </c>
      <c r="E1732" s="55" t="s">
        <v>3367</v>
      </c>
      <c r="F1732" s="55" t="s">
        <v>196</v>
      </c>
      <c r="G1732" s="55" t="s">
        <v>415</v>
      </c>
      <c r="H1732" s="50" t="s">
        <v>3368</v>
      </c>
    </row>
    <row r="1733" spans="1:62" x14ac:dyDescent="0.2">
      <c r="C1733" s="195">
        <v>44629</v>
      </c>
      <c r="D1733" s="55">
        <v>280</v>
      </c>
      <c r="E1733" s="55" t="s">
        <v>3369</v>
      </c>
      <c r="F1733" s="55" t="s">
        <v>202</v>
      </c>
      <c r="G1733" s="55" t="s">
        <v>297</v>
      </c>
      <c r="H1733" s="50" t="s">
        <v>224</v>
      </c>
    </row>
    <row r="1734" spans="1:62" x14ac:dyDescent="0.2">
      <c r="C1734" s="195">
        <v>44649</v>
      </c>
      <c r="D1734" s="55">
        <v>280</v>
      </c>
      <c r="E1734" s="55" t="s">
        <v>3370</v>
      </c>
      <c r="F1734" s="55" t="s">
        <v>192</v>
      </c>
      <c r="G1734" s="55" t="s">
        <v>453</v>
      </c>
      <c r="H1734" s="50" t="s">
        <v>224</v>
      </c>
    </row>
    <row r="1735" spans="1:62" x14ac:dyDescent="0.2">
      <c r="C1735" s="195">
        <v>44630</v>
      </c>
      <c r="D1735" s="55">
        <v>280</v>
      </c>
      <c r="E1735" s="55" t="s">
        <v>3371</v>
      </c>
      <c r="F1735" s="55" t="s">
        <v>267</v>
      </c>
      <c r="G1735" s="55" t="s">
        <v>1109</v>
      </c>
      <c r="H1735" s="50" t="s">
        <v>3372</v>
      </c>
    </row>
    <row r="1736" spans="1:62" x14ac:dyDescent="0.2">
      <c r="A1736" s="57">
        <v>322</v>
      </c>
      <c r="B1736" t="s">
        <v>836</v>
      </c>
      <c r="C1736" s="195">
        <v>44648</v>
      </c>
      <c r="D1736" s="55">
        <v>280</v>
      </c>
      <c r="E1736" s="55" t="s">
        <v>3373</v>
      </c>
      <c r="F1736" s="55" t="s">
        <v>202</v>
      </c>
      <c r="G1736" s="55" t="s">
        <v>341</v>
      </c>
      <c r="H1736" s="50" t="s">
        <v>224</v>
      </c>
      <c r="I1736" s="46" t="s">
        <v>839</v>
      </c>
      <c r="J1736" s="52">
        <v>1</v>
      </c>
      <c r="K1736" s="52">
        <v>1</v>
      </c>
      <c r="O1736" s="1">
        <v>1</v>
      </c>
      <c r="S1736" s="1">
        <v>1</v>
      </c>
      <c r="W1736" s="1">
        <v>1</v>
      </c>
      <c r="AA1736" s="1">
        <v>5</v>
      </c>
      <c r="AG1736">
        <v>5</v>
      </c>
      <c r="AM1736">
        <v>1</v>
      </c>
      <c r="AN1736">
        <v>3</v>
      </c>
      <c r="AO1736">
        <v>3</v>
      </c>
      <c r="AP1736">
        <v>3</v>
      </c>
      <c r="AQ1736">
        <v>3</v>
      </c>
      <c r="AR1736">
        <v>3</v>
      </c>
      <c r="AS1736">
        <v>5</v>
      </c>
      <c r="AT1736">
        <v>2</v>
      </c>
      <c r="AU1736">
        <v>2</v>
      </c>
      <c r="AZ1736">
        <v>1</v>
      </c>
      <c r="BA1736">
        <v>1</v>
      </c>
      <c r="BB1736">
        <v>1</v>
      </c>
      <c r="BC1736">
        <v>1</v>
      </c>
      <c r="BD1736">
        <v>1</v>
      </c>
      <c r="BE1736">
        <v>4</v>
      </c>
      <c r="BF1736">
        <v>4</v>
      </c>
      <c r="BG1736">
        <v>4</v>
      </c>
      <c r="BH1736">
        <v>4</v>
      </c>
      <c r="BI1736">
        <v>4</v>
      </c>
      <c r="BJ1736">
        <v>2</v>
      </c>
    </row>
    <row r="1737" spans="1:62" x14ac:dyDescent="0.2">
      <c r="C1737" s="195">
        <v>44628</v>
      </c>
      <c r="D1737" s="55">
        <v>280</v>
      </c>
      <c r="E1737" s="55" t="s">
        <v>3374</v>
      </c>
      <c r="F1737" s="55" t="s">
        <v>263</v>
      </c>
      <c r="G1737" s="55" t="s">
        <v>1360</v>
      </c>
      <c r="H1737" s="50" t="s">
        <v>3375</v>
      </c>
    </row>
    <row r="1738" spans="1:62" x14ac:dyDescent="0.2">
      <c r="C1738" s="195">
        <v>44629</v>
      </c>
      <c r="D1738" s="55">
        <v>260</v>
      </c>
      <c r="E1738" s="55" t="s">
        <v>3376</v>
      </c>
      <c r="F1738" s="55" t="s">
        <v>202</v>
      </c>
      <c r="G1738" s="55" t="s">
        <v>1146</v>
      </c>
      <c r="H1738" s="50" t="s">
        <v>3377</v>
      </c>
    </row>
    <row r="1739" spans="1:62" x14ac:dyDescent="0.2">
      <c r="C1739" s="195">
        <v>44627</v>
      </c>
      <c r="D1739" s="55">
        <v>280</v>
      </c>
      <c r="E1739" s="55" t="s">
        <v>3378</v>
      </c>
      <c r="F1739" s="55" t="s">
        <v>244</v>
      </c>
      <c r="G1739" s="55" t="s">
        <v>260</v>
      </c>
      <c r="H1739" s="50" t="s">
        <v>3379</v>
      </c>
    </row>
    <row r="1740" spans="1:62" x14ac:dyDescent="0.2">
      <c r="C1740" s="195">
        <v>44645</v>
      </c>
      <c r="D1740" s="55">
        <v>260</v>
      </c>
      <c r="E1740" s="55" t="s">
        <v>3380</v>
      </c>
      <c r="F1740" s="55" t="s">
        <v>202</v>
      </c>
      <c r="G1740" s="55" t="s">
        <v>203</v>
      </c>
      <c r="H1740" s="50" t="s">
        <v>3381</v>
      </c>
    </row>
    <row r="1741" spans="1:62" x14ac:dyDescent="0.2">
      <c r="C1741" s="195">
        <v>44636</v>
      </c>
      <c r="D1741" s="55">
        <v>280</v>
      </c>
      <c r="E1741" s="55" t="s">
        <v>3382</v>
      </c>
      <c r="F1741" s="55" t="s">
        <v>231</v>
      </c>
      <c r="G1741" s="55" t="s">
        <v>232</v>
      </c>
      <c r="H1741" s="50" t="s">
        <v>3383</v>
      </c>
    </row>
    <row r="1742" spans="1:62" x14ac:dyDescent="0.2">
      <c r="C1742" s="195">
        <v>44650</v>
      </c>
      <c r="D1742" s="55">
        <v>280</v>
      </c>
      <c r="E1742" s="55" t="s">
        <v>3384</v>
      </c>
      <c r="F1742" s="55" t="s">
        <v>263</v>
      </c>
      <c r="G1742" s="55" t="s">
        <v>1005</v>
      </c>
      <c r="H1742" s="50" t="s">
        <v>3385</v>
      </c>
    </row>
    <row r="1743" spans="1:62" x14ac:dyDescent="0.2">
      <c r="C1743" s="195">
        <v>44642</v>
      </c>
      <c r="D1743" s="55">
        <v>280</v>
      </c>
      <c r="E1743" s="55" t="s">
        <v>3386</v>
      </c>
      <c r="F1743" s="55" t="s">
        <v>272</v>
      </c>
      <c r="G1743" s="55" t="s">
        <v>366</v>
      </c>
      <c r="H1743" s="50" t="s">
        <v>224</v>
      </c>
    </row>
    <row r="1744" spans="1:62" x14ac:dyDescent="0.2">
      <c r="C1744" s="195">
        <v>44627</v>
      </c>
      <c r="D1744" s="55">
        <v>260</v>
      </c>
      <c r="E1744" s="55" t="s">
        <v>3387</v>
      </c>
      <c r="F1744" s="55" t="s">
        <v>272</v>
      </c>
      <c r="G1744" s="55" t="s">
        <v>366</v>
      </c>
      <c r="H1744" s="50" t="s">
        <v>3388</v>
      </c>
    </row>
    <row r="1745" spans="1:9" x14ac:dyDescent="0.2">
      <c r="C1745" s="195">
        <v>44642</v>
      </c>
      <c r="D1745" s="55">
        <v>260</v>
      </c>
      <c r="E1745" s="55" t="s">
        <v>3389</v>
      </c>
      <c r="F1745" s="55" t="s">
        <v>390</v>
      </c>
      <c r="G1745" s="55" t="s">
        <v>391</v>
      </c>
      <c r="H1745" s="50" t="s">
        <v>3390</v>
      </c>
    </row>
    <row r="1746" spans="1:9" x14ac:dyDescent="0.2">
      <c r="C1746" s="195">
        <v>44651</v>
      </c>
      <c r="D1746" s="55">
        <v>280</v>
      </c>
      <c r="E1746" s="55" t="s">
        <v>3391</v>
      </c>
      <c r="F1746" s="55" t="s">
        <v>272</v>
      </c>
      <c r="G1746" s="55" t="s">
        <v>273</v>
      </c>
      <c r="H1746" s="50" t="s">
        <v>3392</v>
      </c>
    </row>
    <row r="1747" spans="1:9" x14ac:dyDescent="0.2">
      <c r="C1747" s="195">
        <v>44643</v>
      </c>
      <c r="D1747" s="55">
        <v>280</v>
      </c>
      <c r="E1747" s="55" t="s">
        <v>3393</v>
      </c>
      <c r="F1747" s="55" t="s">
        <v>231</v>
      </c>
      <c r="G1747" s="55" t="s">
        <v>435</v>
      </c>
      <c r="H1747" s="50" t="s">
        <v>3394</v>
      </c>
    </row>
    <row r="1748" spans="1:9" x14ac:dyDescent="0.2">
      <c r="C1748" s="195">
        <v>44622</v>
      </c>
      <c r="D1748" s="55">
        <v>260</v>
      </c>
      <c r="E1748" s="55" t="s">
        <v>3395</v>
      </c>
      <c r="F1748" s="55" t="s">
        <v>210</v>
      </c>
      <c r="G1748" s="55" t="s">
        <v>211</v>
      </c>
      <c r="H1748" s="50" t="s">
        <v>3396</v>
      </c>
    </row>
    <row r="1749" spans="1:9" x14ac:dyDescent="0.2">
      <c r="C1749" s="195">
        <v>44650</v>
      </c>
      <c r="D1749" s="55">
        <v>280</v>
      </c>
      <c r="E1749" s="55" t="s">
        <v>3397</v>
      </c>
      <c r="F1749" s="55" t="s">
        <v>231</v>
      </c>
      <c r="G1749" s="55" t="s">
        <v>1098</v>
      </c>
      <c r="H1749" s="50" t="s">
        <v>3398</v>
      </c>
    </row>
    <row r="1750" spans="1:9" x14ac:dyDescent="0.2">
      <c r="C1750" s="195">
        <v>44623</v>
      </c>
      <c r="D1750" s="55">
        <v>260</v>
      </c>
      <c r="E1750" s="55" t="s">
        <v>3399</v>
      </c>
      <c r="F1750" s="55" t="s">
        <v>202</v>
      </c>
      <c r="G1750" s="55" t="s">
        <v>276</v>
      </c>
      <c r="H1750" s="50" t="s">
        <v>3400</v>
      </c>
    </row>
    <row r="1751" spans="1:9" x14ac:dyDescent="0.2">
      <c r="C1751" s="195">
        <v>44629</v>
      </c>
      <c r="D1751" s="55">
        <v>260</v>
      </c>
      <c r="E1751" s="55" t="s">
        <v>3401</v>
      </c>
      <c r="F1751" s="55" t="s">
        <v>210</v>
      </c>
      <c r="G1751" s="55" t="s">
        <v>235</v>
      </c>
      <c r="H1751" s="50" t="s">
        <v>3402</v>
      </c>
    </row>
    <row r="1752" spans="1:9" x14ac:dyDescent="0.2">
      <c r="A1752" s="57">
        <v>322</v>
      </c>
      <c r="B1752" t="s">
        <v>836</v>
      </c>
      <c r="C1752" s="195">
        <v>44642</v>
      </c>
      <c r="D1752" s="55">
        <v>260</v>
      </c>
      <c r="E1752" s="55" t="s">
        <v>3403</v>
      </c>
      <c r="F1752" s="55" t="s">
        <v>291</v>
      </c>
      <c r="G1752" s="55" t="s">
        <v>480</v>
      </c>
      <c r="H1752" s="50" t="s">
        <v>3404</v>
      </c>
      <c r="I1752" s="46" t="s">
        <v>837</v>
      </c>
    </row>
    <row r="1753" spans="1:9" x14ac:dyDescent="0.2">
      <c r="C1753" s="195">
        <v>44650</v>
      </c>
      <c r="D1753" s="55">
        <v>260</v>
      </c>
      <c r="E1753" s="55" t="s">
        <v>3405</v>
      </c>
      <c r="F1753" s="55" t="s">
        <v>390</v>
      </c>
      <c r="G1753" s="55" t="s">
        <v>779</v>
      </c>
      <c r="H1753" s="50" t="s">
        <v>3406</v>
      </c>
    </row>
    <row r="1754" spans="1:9" x14ac:dyDescent="0.2">
      <c r="A1754" s="57">
        <v>322</v>
      </c>
      <c r="B1754" t="s">
        <v>836</v>
      </c>
      <c r="C1754" s="195">
        <v>44623</v>
      </c>
      <c r="D1754" s="55">
        <v>280</v>
      </c>
      <c r="E1754" s="55" t="s">
        <v>3407</v>
      </c>
      <c r="F1754" s="55" t="s">
        <v>272</v>
      </c>
      <c r="G1754" s="55" t="s">
        <v>3408</v>
      </c>
      <c r="H1754" s="50" t="s">
        <v>3409</v>
      </c>
      <c r="I1754" s="46" t="s">
        <v>837</v>
      </c>
    </row>
    <row r="1755" spans="1:9" x14ac:dyDescent="0.2">
      <c r="C1755" s="195">
        <v>44649</v>
      </c>
      <c r="D1755" s="55">
        <v>280</v>
      </c>
      <c r="E1755" s="55" t="s">
        <v>3410</v>
      </c>
      <c r="F1755" s="55" t="s">
        <v>272</v>
      </c>
      <c r="G1755" s="55" t="s">
        <v>683</v>
      </c>
      <c r="H1755" s="50" t="s">
        <v>224</v>
      </c>
    </row>
    <row r="1756" spans="1:9" x14ac:dyDescent="0.2">
      <c r="C1756" s="195">
        <v>44649</v>
      </c>
      <c r="D1756" s="55">
        <v>260</v>
      </c>
      <c r="E1756" s="55" t="s">
        <v>3411</v>
      </c>
      <c r="F1756" s="55" t="s">
        <v>267</v>
      </c>
      <c r="G1756" s="55" t="s">
        <v>813</v>
      </c>
      <c r="H1756" s="50" t="s">
        <v>3412</v>
      </c>
    </row>
    <row r="1757" spans="1:9" x14ac:dyDescent="0.2">
      <c r="A1757" s="57">
        <v>322</v>
      </c>
      <c r="B1757" t="s">
        <v>836</v>
      </c>
      <c r="C1757" s="195">
        <v>44622</v>
      </c>
      <c r="D1757" s="55">
        <v>260</v>
      </c>
      <c r="E1757" s="55" t="s">
        <v>3413</v>
      </c>
      <c r="F1757" s="55" t="s">
        <v>196</v>
      </c>
      <c r="G1757" s="55" t="s">
        <v>352</v>
      </c>
      <c r="H1757" s="50" t="s">
        <v>3414</v>
      </c>
      <c r="I1757" s="46" t="s">
        <v>837</v>
      </c>
    </row>
    <row r="1758" spans="1:9" x14ac:dyDescent="0.2">
      <c r="C1758" s="195">
        <v>44642</v>
      </c>
      <c r="D1758" s="55">
        <v>260</v>
      </c>
      <c r="E1758" s="55" t="s">
        <v>3415</v>
      </c>
      <c r="F1758" s="55" t="s">
        <v>231</v>
      </c>
      <c r="G1758" s="55" t="s">
        <v>648</v>
      </c>
      <c r="H1758" s="50" t="s">
        <v>224</v>
      </c>
    </row>
    <row r="1759" spans="1:9" x14ac:dyDescent="0.2">
      <c r="C1759" s="195">
        <v>44650</v>
      </c>
      <c r="D1759" s="55">
        <v>280</v>
      </c>
      <c r="E1759" s="55" t="s">
        <v>3416</v>
      </c>
      <c r="F1759" s="55" t="s">
        <v>231</v>
      </c>
      <c r="G1759" s="55" t="s">
        <v>421</v>
      </c>
      <c r="H1759" s="50" t="s">
        <v>3417</v>
      </c>
    </row>
    <row r="1760" spans="1:9" x14ac:dyDescent="0.2">
      <c r="C1760" s="195">
        <v>44642</v>
      </c>
      <c r="D1760" s="55">
        <v>260</v>
      </c>
      <c r="E1760" s="55" t="s">
        <v>3418</v>
      </c>
      <c r="F1760" s="55" t="s">
        <v>231</v>
      </c>
      <c r="G1760" s="55" t="s">
        <v>782</v>
      </c>
      <c r="H1760" s="50" t="s">
        <v>3419</v>
      </c>
    </row>
    <row r="1761" spans="1:9" x14ac:dyDescent="0.2">
      <c r="C1761" s="195">
        <v>44629</v>
      </c>
      <c r="D1761" s="55">
        <v>260</v>
      </c>
      <c r="E1761" s="55" t="s">
        <v>3420</v>
      </c>
      <c r="F1761" s="55" t="s">
        <v>202</v>
      </c>
      <c r="G1761" s="55" t="s">
        <v>344</v>
      </c>
    </row>
    <row r="1762" spans="1:9" x14ac:dyDescent="0.2">
      <c r="C1762" s="195">
        <v>44635</v>
      </c>
      <c r="D1762" s="55">
        <v>260</v>
      </c>
      <c r="E1762" s="55" t="s">
        <v>3421</v>
      </c>
      <c r="F1762" s="55" t="s">
        <v>206</v>
      </c>
      <c r="G1762" s="55" t="s">
        <v>676</v>
      </c>
      <c r="H1762" s="50" t="s">
        <v>3422</v>
      </c>
    </row>
    <row r="1763" spans="1:9" x14ac:dyDescent="0.2">
      <c r="C1763" s="195">
        <v>44650</v>
      </c>
      <c r="D1763" s="55">
        <v>280</v>
      </c>
      <c r="E1763" s="55" t="s">
        <v>3423</v>
      </c>
      <c r="F1763" s="55" t="s">
        <v>267</v>
      </c>
      <c r="G1763" s="55" t="s">
        <v>708</v>
      </c>
      <c r="H1763" s="50" t="s">
        <v>3424</v>
      </c>
    </row>
    <row r="1764" spans="1:9" x14ac:dyDescent="0.2">
      <c r="C1764" s="195">
        <v>44622</v>
      </c>
      <c r="D1764" s="55">
        <v>280</v>
      </c>
      <c r="E1764" s="55" t="s">
        <v>3425</v>
      </c>
      <c r="F1764" s="55" t="s">
        <v>272</v>
      </c>
      <c r="G1764" s="55" t="s">
        <v>3408</v>
      </c>
      <c r="H1764" s="50" t="s">
        <v>224</v>
      </c>
    </row>
    <row r="1765" spans="1:9" x14ac:dyDescent="0.2">
      <c r="C1765" s="195">
        <v>44651</v>
      </c>
      <c r="D1765" s="55">
        <v>280</v>
      </c>
      <c r="E1765" s="55" t="s">
        <v>3426</v>
      </c>
      <c r="F1765" s="55" t="s">
        <v>219</v>
      </c>
      <c r="G1765" s="55" t="s">
        <v>561</v>
      </c>
      <c r="H1765" s="50" t="s">
        <v>3427</v>
      </c>
    </row>
    <row r="1766" spans="1:9" x14ac:dyDescent="0.2">
      <c r="C1766" s="195">
        <v>44630</v>
      </c>
      <c r="D1766" s="55">
        <v>280</v>
      </c>
      <c r="E1766" s="55" t="s">
        <v>3428</v>
      </c>
      <c r="F1766" s="55" t="s">
        <v>192</v>
      </c>
      <c r="G1766" s="55" t="s">
        <v>563</v>
      </c>
      <c r="H1766" s="50" t="s">
        <v>3429</v>
      </c>
    </row>
    <row r="1767" spans="1:9" x14ac:dyDescent="0.2">
      <c r="A1767" s="57">
        <v>322</v>
      </c>
      <c r="B1767" t="s">
        <v>836</v>
      </c>
      <c r="C1767" s="195">
        <v>44635</v>
      </c>
      <c r="D1767" s="55">
        <v>280</v>
      </c>
      <c r="E1767" s="55" t="s">
        <v>3430</v>
      </c>
      <c r="F1767" s="55" t="s">
        <v>267</v>
      </c>
      <c r="G1767" s="55" t="s">
        <v>442</v>
      </c>
      <c r="H1767" s="50" t="s">
        <v>3431</v>
      </c>
      <c r="I1767" s="46" t="s">
        <v>837</v>
      </c>
    </row>
    <row r="1768" spans="1:9" x14ac:dyDescent="0.2">
      <c r="C1768" s="195">
        <v>44642</v>
      </c>
      <c r="D1768" s="55">
        <v>260</v>
      </c>
      <c r="E1768" s="55" t="s">
        <v>3432</v>
      </c>
      <c r="F1768" s="55" t="s">
        <v>272</v>
      </c>
      <c r="G1768" s="55" t="s">
        <v>533</v>
      </c>
      <c r="H1768" s="50" t="s">
        <v>3433</v>
      </c>
    </row>
    <row r="1769" spans="1:9" x14ac:dyDescent="0.2">
      <c r="A1769" s="57">
        <v>322</v>
      </c>
      <c r="B1769" t="s">
        <v>836</v>
      </c>
      <c r="C1769" s="195">
        <v>44627</v>
      </c>
      <c r="D1769" s="55">
        <v>280</v>
      </c>
      <c r="E1769" s="55" t="s">
        <v>3434</v>
      </c>
      <c r="F1769" s="55" t="s">
        <v>231</v>
      </c>
      <c r="G1769" s="55" t="s">
        <v>435</v>
      </c>
      <c r="H1769" s="50" t="s">
        <v>3435</v>
      </c>
      <c r="I1769" s="46" t="s">
        <v>837</v>
      </c>
    </row>
    <row r="1770" spans="1:9" x14ac:dyDescent="0.2">
      <c r="C1770" s="195">
        <v>44635</v>
      </c>
      <c r="D1770" s="55">
        <v>280</v>
      </c>
      <c r="E1770" s="55" t="s">
        <v>3436</v>
      </c>
      <c r="F1770" s="55" t="s">
        <v>231</v>
      </c>
      <c r="G1770" s="55" t="s">
        <v>782</v>
      </c>
      <c r="H1770" s="50" t="s">
        <v>3437</v>
      </c>
    </row>
    <row r="1771" spans="1:9" x14ac:dyDescent="0.2">
      <c r="C1771" s="195">
        <v>44643</v>
      </c>
      <c r="D1771" s="55">
        <v>260</v>
      </c>
      <c r="E1771" s="55" t="s">
        <v>3438</v>
      </c>
      <c r="F1771" s="55" t="s">
        <v>202</v>
      </c>
      <c r="G1771" s="55" t="s">
        <v>321</v>
      </c>
      <c r="H1771" s="50" t="s">
        <v>3439</v>
      </c>
    </row>
    <row r="1772" spans="1:9" x14ac:dyDescent="0.2">
      <c r="C1772" s="195">
        <v>44642</v>
      </c>
      <c r="D1772" s="55">
        <v>260</v>
      </c>
      <c r="E1772" s="55" t="s">
        <v>3440</v>
      </c>
      <c r="F1772" s="55" t="s">
        <v>390</v>
      </c>
      <c r="G1772" s="55" t="s">
        <v>391</v>
      </c>
      <c r="H1772" s="50" t="s">
        <v>3441</v>
      </c>
    </row>
    <row r="1773" spans="1:9" x14ac:dyDescent="0.2">
      <c r="C1773" s="195">
        <v>44650</v>
      </c>
      <c r="D1773" s="55">
        <v>260</v>
      </c>
      <c r="E1773" s="55" t="s">
        <v>3442</v>
      </c>
      <c r="F1773" s="55" t="s">
        <v>244</v>
      </c>
      <c r="G1773" s="55" t="s">
        <v>393</v>
      </c>
      <c r="H1773" s="50" t="s">
        <v>3443</v>
      </c>
    </row>
    <row r="1774" spans="1:9" x14ac:dyDescent="0.2">
      <c r="C1774" s="195">
        <v>44635</v>
      </c>
      <c r="D1774" s="55">
        <v>280</v>
      </c>
      <c r="E1774" s="55" t="s">
        <v>3444</v>
      </c>
      <c r="F1774" s="55" t="s">
        <v>231</v>
      </c>
      <c r="G1774" s="55" t="s">
        <v>421</v>
      </c>
      <c r="H1774" s="50" t="s">
        <v>3445</v>
      </c>
    </row>
    <row r="1775" spans="1:9" x14ac:dyDescent="0.2">
      <c r="C1775" s="195">
        <v>44644</v>
      </c>
      <c r="D1775" s="55">
        <v>260</v>
      </c>
      <c r="E1775" s="55" t="s">
        <v>3446</v>
      </c>
      <c r="F1775" s="55" t="s">
        <v>291</v>
      </c>
      <c r="G1775" s="55" t="s">
        <v>607</v>
      </c>
      <c r="H1775" s="50" t="s">
        <v>224</v>
      </c>
    </row>
    <row r="1776" spans="1:9" x14ac:dyDescent="0.2">
      <c r="A1776" s="57">
        <v>322</v>
      </c>
      <c r="B1776" t="s">
        <v>836</v>
      </c>
      <c r="C1776" s="195">
        <v>44624</v>
      </c>
      <c r="D1776" s="55">
        <v>280</v>
      </c>
      <c r="E1776" s="55" t="s">
        <v>3447</v>
      </c>
      <c r="F1776" s="55" t="s">
        <v>192</v>
      </c>
      <c r="G1776" s="55" t="s">
        <v>487</v>
      </c>
      <c r="H1776" s="50" t="s">
        <v>224</v>
      </c>
      <c r="I1776" s="46" t="s">
        <v>837</v>
      </c>
    </row>
    <row r="1777" spans="1:62" x14ac:dyDescent="0.2">
      <c r="C1777" s="195">
        <v>44631</v>
      </c>
      <c r="D1777" s="55">
        <v>280</v>
      </c>
      <c r="E1777" s="55" t="s">
        <v>3448</v>
      </c>
      <c r="F1777" s="55" t="s">
        <v>192</v>
      </c>
      <c r="G1777" s="55" t="s">
        <v>324</v>
      </c>
      <c r="H1777" s="50" t="s">
        <v>3449</v>
      </c>
    </row>
    <row r="1778" spans="1:62" x14ac:dyDescent="0.2">
      <c r="C1778" s="195">
        <v>44638</v>
      </c>
      <c r="D1778" s="55">
        <v>260</v>
      </c>
      <c r="E1778" s="55" t="s">
        <v>3450</v>
      </c>
      <c r="F1778" s="55" t="s">
        <v>267</v>
      </c>
      <c r="G1778" s="55" t="s">
        <v>268</v>
      </c>
      <c r="H1778" s="50" t="s">
        <v>3451</v>
      </c>
    </row>
    <row r="1779" spans="1:62" x14ac:dyDescent="0.2">
      <c r="C1779" s="195">
        <v>44648</v>
      </c>
      <c r="D1779" s="55">
        <v>280</v>
      </c>
      <c r="E1779" s="55" t="s">
        <v>3452</v>
      </c>
      <c r="F1779" s="55" t="s">
        <v>196</v>
      </c>
      <c r="G1779" s="55" t="s">
        <v>349</v>
      </c>
    </row>
    <row r="1780" spans="1:62" x14ac:dyDescent="0.2">
      <c r="C1780" s="195">
        <v>44627</v>
      </c>
      <c r="D1780" s="55">
        <v>260</v>
      </c>
      <c r="E1780" s="55" t="s">
        <v>3453</v>
      </c>
      <c r="F1780" s="55" t="s">
        <v>202</v>
      </c>
      <c r="G1780" s="55" t="s">
        <v>321</v>
      </c>
      <c r="H1780" s="50" t="s">
        <v>3454</v>
      </c>
    </row>
    <row r="1781" spans="1:62" x14ac:dyDescent="0.2">
      <c r="C1781" s="195">
        <v>44635</v>
      </c>
      <c r="D1781" s="55">
        <v>260</v>
      </c>
      <c r="E1781" s="55" t="s">
        <v>3455</v>
      </c>
      <c r="F1781" s="55" t="s">
        <v>219</v>
      </c>
      <c r="G1781" s="55" t="s">
        <v>249</v>
      </c>
      <c r="H1781" s="50" t="s">
        <v>3456</v>
      </c>
    </row>
    <row r="1782" spans="1:62" x14ac:dyDescent="0.2">
      <c r="C1782" s="195">
        <v>44638</v>
      </c>
      <c r="D1782" s="55">
        <v>280</v>
      </c>
      <c r="E1782" s="55" t="s">
        <v>3457</v>
      </c>
      <c r="F1782" s="55" t="s">
        <v>267</v>
      </c>
      <c r="G1782" s="55" t="s">
        <v>442</v>
      </c>
      <c r="H1782" s="50" t="s">
        <v>3458</v>
      </c>
    </row>
    <row r="1783" spans="1:62" x14ac:dyDescent="0.2">
      <c r="C1783" s="195">
        <v>44645</v>
      </c>
      <c r="D1783" s="55">
        <v>260</v>
      </c>
      <c r="E1783" s="55" t="s">
        <v>3459</v>
      </c>
      <c r="F1783" s="55" t="s">
        <v>202</v>
      </c>
      <c r="G1783" s="55" t="s">
        <v>341</v>
      </c>
      <c r="H1783" s="50" t="s">
        <v>3460</v>
      </c>
    </row>
    <row r="1784" spans="1:62" x14ac:dyDescent="0.2">
      <c r="C1784" s="195">
        <v>44622</v>
      </c>
      <c r="D1784" s="55">
        <v>260</v>
      </c>
      <c r="E1784" s="55" t="s">
        <v>3461</v>
      </c>
      <c r="F1784" s="55" t="s">
        <v>219</v>
      </c>
      <c r="G1784" s="55" t="s">
        <v>223</v>
      </c>
      <c r="H1784" s="50" t="s">
        <v>3462</v>
      </c>
    </row>
    <row r="1785" spans="1:62" x14ac:dyDescent="0.2">
      <c r="C1785" s="195">
        <v>44627</v>
      </c>
      <c r="D1785" s="55">
        <v>260</v>
      </c>
      <c r="E1785" s="55" t="s">
        <v>3463</v>
      </c>
      <c r="F1785" s="55" t="s">
        <v>244</v>
      </c>
      <c r="G1785" s="55" t="s">
        <v>1085</v>
      </c>
      <c r="H1785" s="50" t="s">
        <v>3464</v>
      </c>
    </row>
    <row r="1786" spans="1:62" x14ac:dyDescent="0.2">
      <c r="C1786" s="195">
        <v>44649</v>
      </c>
      <c r="D1786" s="55">
        <v>260</v>
      </c>
      <c r="E1786" s="55" t="s">
        <v>3465</v>
      </c>
      <c r="F1786" s="55" t="s">
        <v>267</v>
      </c>
      <c r="G1786" s="55" t="s">
        <v>813</v>
      </c>
      <c r="H1786" s="50" t="s">
        <v>224</v>
      </c>
    </row>
    <row r="1787" spans="1:62" x14ac:dyDescent="0.2">
      <c r="C1787" s="195">
        <v>44650</v>
      </c>
      <c r="D1787" s="55">
        <v>280</v>
      </c>
      <c r="E1787" s="55" t="s">
        <v>3466</v>
      </c>
      <c r="F1787" s="55" t="s">
        <v>192</v>
      </c>
      <c r="G1787" s="55" t="s">
        <v>487</v>
      </c>
      <c r="H1787" s="50" t="s">
        <v>3467</v>
      </c>
    </row>
    <row r="1788" spans="1:62" x14ac:dyDescent="0.2">
      <c r="C1788" s="195">
        <v>44641</v>
      </c>
      <c r="D1788" s="55">
        <v>280</v>
      </c>
      <c r="E1788" s="55" t="s">
        <v>3468</v>
      </c>
      <c r="F1788" s="55" t="s">
        <v>263</v>
      </c>
      <c r="G1788" s="55" t="s">
        <v>3265</v>
      </c>
      <c r="H1788" s="50" t="s">
        <v>3469</v>
      </c>
    </row>
    <row r="1789" spans="1:62" x14ac:dyDescent="0.2">
      <c r="C1789" s="195">
        <v>44624</v>
      </c>
      <c r="D1789" s="55">
        <v>280</v>
      </c>
      <c r="E1789" s="55" t="s">
        <v>3470</v>
      </c>
      <c r="F1789" s="55" t="s">
        <v>206</v>
      </c>
      <c r="G1789" s="55" t="s">
        <v>548</v>
      </c>
      <c r="H1789" s="50" t="s">
        <v>3471</v>
      </c>
    </row>
    <row r="1790" spans="1:62" x14ac:dyDescent="0.2">
      <c r="C1790" s="195">
        <v>44622</v>
      </c>
      <c r="D1790" s="55">
        <v>260</v>
      </c>
      <c r="E1790" s="55" t="s">
        <v>3472</v>
      </c>
      <c r="F1790" s="55" t="s">
        <v>291</v>
      </c>
      <c r="G1790" s="55" t="s">
        <v>643</v>
      </c>
      <c r="H1790" s="50" t="s">
        <v>3473</v>
      </c>
    </row>
    <row r="1791" spans="1:62" x14ac:dyDescent="0.2">
      <c r="C1791" s="195">
        <v>44621</v>
      </c>
      <c r="D1791" s="55">
        <v>280</v>
      </c>
      <c r="E1791" s="55" t="s">
        <v>3474</v>
      </c>
      <c r="F1791" s="55" t="s">
        <v>219</v>
      </c>
      <c r="G1791" s="55" t="s">
        <v>249</v>
      </c>
      <c r="H1791" s="50" t="s">
        <v>224</v>
      </c>
    </row>
    <row r="1792" spans="1:62" x14ac:dyDescent="0.2">
      <c r="A1792" s="57">
        <v>322</v>
      </c>
      <c r="B1792" t="s">
        <v>836</v>
      </c>
      <c r="C1792" s="195">
        <v>44627</v>
      </c>
      <c r="D1792" s="55">
        <v>280</v>
      </c>
      <c r="E1792" s="55" t="s">
        <v>3475</v>
      </c>
      <c r="F1792" s="55" t="s">
        <v>231</v>
      </c>
      <c r="G1792" s="55" t="s">
        <v>435</v>
      </c>
      <c r="H1792" s="50" t="s">
        <v>224</v>
      </c>
      <c r="I1792" s="46" t="s">
        <v>839</v>
      </c>
      <c r="J1792" s="52">
        <v>1</v>
      </c>
      <c r="K1792" s="52">
        <v>1</v>
      </c>
      <c r="O1792" s="1">
        <v>1</v>
      </c>
      <c r="S1792" s="1">
        <v>1</v>
      </c>
      <c r="W1792" s="1">
        <v>1</v>
      </c>
      <c r="AA1792" s="1">
        <v>1</v>
      </c>
      <c r="AG1792">
        <v>1</v>
      </c>
      <c r="AM1792">
        <v>2</v>
      </c>
      <c r="AN1792">
        <v>4</v>
      </c>
      <c r="AO1792">
        <v>4</v>
      </c>
      <c r="AP1792">
        <v>4</v>
      </c>
      <c r="AQ1792">
        <v>4</v>
      </c>
      <c r="AR1792">
        <v>4</v>
      </c>
      <c r="AS1792">
        <v>4</v>
      </c>
      <c r="AT1792">
        <v>1</v>
      </c>
      <c r="AU1792">
        <v>1</v>
      </c>
      <c r="AZ1792">
        <v>1</v>
      </c>
      <c r="BA1792">
        <v>1</v>
      </c>
      <c r="BB1792">
        <v>1</v>
      </c>
      <c r="BC1792">
        <v>1</v>
      </c>
      <c r="BD1792">
        <v>1</v>
      </c>
      <c r="BE1792">
        <v>1</v>
      </c>
      <c r="BJ1792">
        <v>1</v>
      </c>
    </row>
    <row r="1793" spans="1:9" x14ac:dyDescent="0.2">
      <c r="C1793" s="195">
        <v>44637</v>
      </c>
      <c r="D1793" s="55">
        <v>260</v>
      </c>
      <c r="E1793" s="55" t="s">
        <v>3476</v>
      </c>
      <c r="F1793" s="55" t="s">
        <v>192</v>
      </c>
      <c r="G1793" s="55" t="s">
        <v>401</v>
      </c>
      <c r="H1793" s="50" t="s">
        <v>3477</v>
      </c>
    </row>
    <row r="1794" spans="1:9" x14ac:dyDescent="0.2">
      <c r="C1794" s="195">
        <v>44627</v>
      </c>
      <c r="D1794" s="55">
        <v>260</v>
      </c>
      <c r="E1794" s="55" t="s">
        <v>3478</v>
      </c>
      <c r="F1794" s="55" t="s">
        <v>231</v>
      </c>
      <c r="G1794" s="55" t="s">
        <v>648</v>
      </c>
      <c r="H1794" s="50" t="s">
        <v>3479</v>
      </c>
    </row>
    <row r="1795" spans="1:9" x14ac:dyDescent="0.2">
      <c r="C1795" s="195">
        <v>44638</v>
      </c>
      <c r="D1795" s="55">
        <v>280</v>
      </c>
      <c r="E1795" s="55" t="s">
        <v>3480</v>
      </c>
      <c r="F1795" s="55" t="s">
        <v>192</v>
      </c>
      <c r="G1795" s="55" t="s">
        <v>453</v>
      </c>
      <c r="H1795" s="50" t="s">
        <v>3481</v>
      </c>
    </row>
    <row r="1796" spans="1:9" x14ac:dyDescent="0.2">
      <c r="C1796" s="195">
        <v>44650</v>
      </c>
      <c r="D1796" s="55">
        <v>260</v>
      </c>
      <c r="E1796" s="55" t="s">
        <v>3482</v>
      </c>
      <c r="F1796" s="55" t="s">
        <v>390</v>
      </c>
      <c r="G1796" s="55" t="s">
        <v>779</v>
      </c>
      <c r="H1796" s="50" t="s">
        <v>3483</v>
      </c>
    </row>
    <row r="1797" spans="1:9" x14ac:dyDescent="0.2">
      <c r="C1797" s="195">
        <v>44651</v>
      </c>
      <c r="D1797" s="55">
        <v>260</v>
      </c>
      <c r="E1797" s="55" t="s">
        <v>3484</v>
      </c>
      <c r="F1797" s="55" t="s">
        <v>291</v>
      </c>
      <c r="G1797" s="55" t="s">
        <v>1215</v>
      </c>
      <c r="H1797" s="50" t="s">
        <v>3485</v>
      </c>
    </row>
    <row r="1798" spans="1:9" x14ac:dyDescent="0.2">
      <c r="C1798" s="195">
        <v>44627</v>
      </c>
      <c r="D1798" s="55">
        <v>260</v>
      </c>
      <c r="E1798" s="55" t="s">
        <v>3486</v>
      </c>
      <c r="F1798" s="55" t="s">
        <v>210</v>
      </c>
      <c r="G1798" s="55" t="s">
        <v>235</v>
      </c>
      <c r="H1798" s="50" t="s">
        <v>3487</v>
      </c>
    </row>
    <row r="1799" spans="1:9" x14ac:dyDescent="0.2">
      <c r="A1799" s="57">
        <v>322</v>
      </c>
      <c r="B1799" t="s">
        <v>836</v>
      </c>
      <c r="C1799" s="195">
        <v>44624</v>
      </c>
      <c r="D1799" s="55">
        <v>280</v>
      </c>
      <c r="E1799" s="55" t="s">
        <v>3488</v>
      </c>
      <c r="F1799" s="55" t="s">
        <v>231</v>
      </c>
      <c r="G1799" s="55" t="s">
        <v>232</v>
      </c>
      <c r="H1799" s="50" t="s">
        <v>224</v>
      </c>
      <c r="I1799" s="46" t="s">
        <v>837</v>
      </c>
    </row>
    <row r="1800" spans="1:9" x14ac:dyDescent="0.2">
      <c r="C1800" s="195">
        <v>44643</v>
      </c>
      <c r="D1800" s="55">
        <v>280</v>
      </c>
      <c r="E1800" s="55" t="s">
        <v>3489</v>
      </c>
      <c r="F1800" s="55" t="s">
        <v>263</v>
      </c>
      <c r="G1800" s="55" t="s">
        <v>693</v>
      </c>
      <c r="H1800" s="50" t="s">
        <v>3490</v>
      </c>
    </row>
    <row r="1801" spans="1:9" x14ac:dyDescent="0.2">
      <c r="C1801" s="195">
        <v>44631</v>
      </c>
      <c r="D1801" s="55">
        <v>260</v>
      </c>
      <c r="E1801" s="55" t="s">
        <v>3491</v>
      </c>
      <c r="F1801" s="55" t="s">
        <v>210</v>
      </c>
      <c r="G1801" s="55" t="s">
        <v>883</v>
      </c>
      <c r="H1801" s="50" t="s">
        <v>3492</v>
      </c>
    </row>
    <row r="1802" spans="1:9" x14ac:dyDescent="0.2">
      <c r="C1802" s="195">
        <v>44651</v>
      </c>
      <c r="D1802" s="55">
        <v>260</v>
      </c>
      <c r="E1802" s="55" t="s">
        <v>3493</v>
      </c>
      <c r="F1802" s="55" t="s">
        <v>390</v>
      </c>
      <c r="G1802" s="55" t="s">
        <v>779</v>
      </c>
      <c r="H1802" s="50" t="s">
        <v>3494</v>
      </c>
    </row>
    <row r="1803" spans="1:9" x14ac:dyDescent="0.2">
      <c r="C1803" s="195">
        <v>44650</v>
      </c>
      <c r="D1803" s="55">
        <v>280</v>
      </c>
      <c r="E1803" s="55" t="s">
        <v>3495</v>
      </c>
      <c r="F1803" s="55" t="s">
        <v>263</v>
      </c>
      <c r="G1803" s="55" t="s">
        <v>1360</v>
      </c>
      <c r="H1803" s="50" t="s">
        <v>3496</v>
      </c>
    </row>
    <row r="1804" spans="1:9" x14ac:dyDescent="0.2">
      <c r="C1804" s="195">
        <v>44636</v>
      </c>
      <c r="D1804" s="55">
        <v>280</v>
      </c>
      <c r="E1804" s="55" t="s">
        <v>3497</v>
      </c>
      <c r="F1804" s="55" t="s">
        <v>231</v>
      </c>
      <c r="G1804" s="55" t="s">
        <v>482</v>
      </c>
      <c r="H1804" s="50" t="s">
        <v>3498</v>
      </c>
    </row>
    <row r="1805" spans="1:9" x14ac:dyDescent="0.2">
      <c r="C1805" s="195">
        <v>44648</v>
      </c>
      <c r="D1805" s="55">
        <v>260</v>
      </c>
      <c r="E1805" s="55" t="s">
        <v>3499</v>
      </c>
      <c r="F1805" s="55" t="s">
        <v>272</v>
      </c>
      <c r="G1805" s="55" t="s">
        <v>273</v>
      </c>
      <c r="H1805" s="50" t="s">
        <v>3500</v>
      </c>
    </row>
    <row r="1806" spans="1:9" x14ac:dyDescent="0.2">
      <c r="A1806" s="57">
        <v>322</v>
      </c>
      <c r="B1806" t="s">
        <v>836</v>
      </c>
      <c r="C1806" s="195">
        <v>44635</v>
      </c>
      <c r="D1806" s="55">
        <v>260</v>
      </c>
      <c r="E1806" s="55" t="s">
        <v>3501</v>
      </c>
      <c r="F1806" s="55" t="s">
        <v>202</v>
      </c>
      <c r="G1806" s="55" t="s">
        <v>344</v>
      </c>
      <c r="H1806" s="50" t="s">
        <v>3502</v>
      </c>
      <c r="I1806" s="46" t="s">
        <v>837</v>
      </c>
    </row>
    <row r="1807" spans="1:9" x14ac:dyDescent="0.2">
      <c r="C1807" s="195">
        <v>44630</v>
      </c>
      <c r="D1807" s="55">
        <v>280</v>
      </c>
      <c r="E1807" s="55" t="s">
        <v>3503</v>
      </c>
      <c r="F1807" s="55" t="s">
        <v>192</v>
      </c>
      <c r="G1807" s="55" t="s">
        <v>563</v>
      </c>
      <c r="H1807" s="50" t="s">
        <v>3504</v>
      </c>
    </row>
    <row r="1808" spans="1:9" x14ac:dyDescent="0.2">
      <c r="C1808" s="195">
        <v>44622</v>
      </c>
      <c r="D1808" s="55">
        <v>280</v>
      </c>
      <c r="E1808" s="55" t="s">
        <v>3505</v>
      </c>
      <c r="F1808" s="55" t="s">
        <v>210</v>
      </c>
      <c r="G1808" s="55" t="s">
        <v>383</v>
      </c>
    </row>
    <row r="1809" spans="1:66" x14ac:dyDescent="0.2">
      <c r="C1809" s="195">
        <v>44651</v>
      </c>
      <c r="D1809" s="55">
        <v>260</v>
      </c>
      <c r="E1809" s="55" t="s">
        <v>3506</v>
      </c>
      <c r="F1809" s="55" t="s">
        <v>291</v>
      </c>
      <c r="G1809" s="55" t="s">
        <v>1215</v>
      </c>
      <c r="H1809" s="50" t="s">
        <v>3507</v>
      </c>
    </row>
    <row r="1810" spans="1:66" x14ac:dyDescent="0.2">
      <c r="A1810" s="57">
        <v>322</v>
      </c>
      <c r="B1810" s="162" t="s">
        <v>836</v>
      </c>
      <c r="C1810" s="195">
        <v>44623</v>
      </c>
      <c r="D1810" s="55">
        <v>260</v>
      </c>
      <c r="E1810" s="55" t="s">
        <v>3508</v>
      </c>
      <c r="F1810" s="55" t="s">
        <v>202</v>
      </c>
      <c r="G1810" s="55" t="s">
        <v>302</v>
      </c>
      <c r="H1810" s="50" t="s">
        <v>224</v>
      </c>
      <c r="I1810" s="46" t="s">
        <v>839</v>
      </c>
      <c r="J1810" s="52">
        <v>4</v>
      </c>
      <c r="K1810" s="52">
        <v>3</v>
      </c>
      <c r="L1810" s="52">
        <v>3</v>
      </c>
      <c r="M1810" s="52">
        <v>3</v>
      </c>
      <c r="N1810" s="52">
        <v>3</v>
      </c>
      <c r="O1810" s="52">
        <v>3</v>
      </c>
      <c r="P1810" s="58">
        <v>3</v>
      </c>
      <c r="Q1810" s="52">
        <v>4</v>
      </c>
      <c r="R1810" s="52">
        <v>3</v>
      </c>
      <c r="S1810" s="52">
        <v>1</v>
      </c>
      <c r="W1810" s="1">
        <v>3</v>
      </c>
      <c r="X1810" s="1">
        <v>1</v>
      </c>
      <c r="Y1810" s="1">
        <v>2</v>
      </c>
      <c r="Z1810" s="1">
        <v>2</v>
      </c>
      <c r="AA1810" s="1">
        <v>4</v>
      </c>
      <c r="AB1810" s="1">
        <v>2</v>
      </c>
      <c r="AC1810" s="59">
        <v>2</v>
      </c>
      <c r="AD1810" s="1">
        <v>2</v>
      </c>
      <c r="AE1810" s="1">
        <v>2</v>
      </c>
      <c r="AF1810" s="1">
        <v>2</v>
      </c>
      <c r="AG1810">
        <v>4</v>
      </c>
      <c r="AH1810">
        <v>2</v>
      </c>
      <c r="AI1810">
        <v>1</v>
      </c>
      <c r="AJ1810">
        <v>1</v>
      </c>
      <c r="AK1810">
        <v>1</v>
      </c>
      <c r="AL1810">
        <v>2</v>
      </c>
      <c r="AM1810">
        <v>4</v>
      </c>
      <c r="AS1810">
        <v>2</v>
      </c>
      <c r="AT1810">
        <v>3</v>
      </c>
      <c r="AU1810">
        <v>4</v>
      </c>
      <c r="AV1810">
        <v>2</v>
      </c>
      <c r="AW1810">
        <v>2</v>
      </c>
      <c r="AX1810">
        <v>2</v>
      </c>
      <c r="AY1810">
        <v>2</v>
      </c>
      <c r="AZ1810">
        <v>4</v>
      </c>
      <c r="BA1810">
        <v>2</v>
      </c>
      <c r="BB1810">
        <v>1</v>
      </c>
      <c r="BC1810">
        <v>1</v>
      </c>
      <c r="BD1810">
        <v>2</v>
      </c>
      <c r="BE1810">
        <v>1</v>
      </c>
      <c r="BJ1810">
        <v>3</v>
      </c>
      <c r="BK1810">
        <v>1</v>
      </c>
      <c r="BL1810">
        <v>2</v>
      </c>
      <c r="BM1810">
        <v>3</v>
      </c>
      <c r="BN1810">
        <v>2</v>
      </c>
    </row>
    <row r="1811" spans="1:66" x14ac:dyDescent="0.2">
      <c r="C1811" s="195">
        <v>44636</v>
      </c>
      <c r="D1811" s="55">
        <v>260</v>
      </c>
      <c r="E1811" s="55" t="s">
        <v>3509</v>
      </c>
      <c r="F1811" s="55" t="s">
        <v>219</v>
      </c>
      <c r="G1811" s="55" t="s">
        <v>249</v>
      </c>
      <c r="H1811" s="50" t="s">
        <v>3510</v>
      </c>
    </row>
    <row r="1812" spans="1:66" x14ac:dyDescent="0.2">
      <c r="C1812" s="195">
        <v>44627</v>
      </c>
      <c r="D1812" s="55">
        <v>260</v>
      </c>
      <c r="E1812" s="55" t="s">
        <v>3511</v>
      </c>
      <c r="F1812" s="55" t="s">
        <v>231</v>
      </c>
      <c r="G1812" s="55" t="s">
        <v>2088</v>
      </c>
      <c r="H1812" s="50" t="s">
        <v>3512</v>
      </c>
    </row>
    <row r="1813" spans="1:66" x14ac:dyDescent="0.2">
      <c r="C1813" s="195">
        <v>44621</v>
      </c>
      <c r="D1813" s="55">
        <v>280</v>
      </c>
      <c r="E1813" s="55" t="s">
        <v>3513</v>
      </c>
      <c r="F1813" s="55" t="s">
        <v>231</v>
      </c>
      <c r="G1813" s="55" t="s">
        <v>648</v>
      </c>
      <c r="H1813" s="50" t="s">
        <v>3514</v>
      </c>
    </row>
    <row r="1814" spans="1:66" x14ac:dyDescent="0.2">
      <c r="A1814" s="57">
        <v>322</v>
      </c>
      <c r="B1814" t="s">
        <v>836</v>
      </c>
      <c r="C1814" s="195">
        <v>44622</v>
      </c>
      <c r="D1814" s="55">
        <v>260</v>
      </c>
      <c r="E1814" s="55" t="s">
        <v>3515</v>
      </c>
      <c r="F1814" s="55" t="s">
        <v>192</v>
      </c>
      <c r="G1814" s="55" t="s">
        <v>640</v>
      </c>
      <c r="H1814" s="50" t="s">
        <v>3516</v>
      </c>
      <c r="I1814" s="46" t="s">
        <v>837</v>
      </c>
    </row>
    <row r="1815" spans="1:66" x14ac:dyDescent="0.2">
      <c r="C1815" s="195">
        <v>44642</v>
      </c>
      <c r="D1815" s="55">
        <v>280</v>
      </c>
      <c r="E1815" s="55" t="s">
        <v>3517</v>
      </c>
      <c r="F1815" s="55" t="s">
        <v>263</v>
      </c>
      <c r="G1815" s="55" t="s">
        <v>995</v>
      </c>
      <c r="H1815" s="50" t="s">
        <v>224</v>
      </c>
    </row>
    <row r="1816" spans="1:66" x14ac:dyDescent="0.2">
      <c r="C1816" s="195">
        <v>44641</v>
      </c>
      <c r="D1816" s="55">
        <v>280</v>
      </c>
      <c r="E1816" s="55" t="s">
        <v>3518</v>
      </c>
      <c r="F1816" s="55" t="s">
        <v>263</v>
      </c>
      <c r="G1816" s="55" t="s">
        <v>613</v>
      </c>
      <c r="H1816" s="50" t="s">
        <v>224</v>
      </c>
    </row>
    <row r="1817" spans="1:66" x14ac:dyDescent="0.2">
      <c r="C1817" s="195">
        <v>44636</v>
      </c>
      <c r="D1817" s="55">
        <v>280</v>
      </c>
      <c r="E1817" s="55" t="s">
        <v>3519</v>
      </c>
      <c r="F1817" s="55" t="s">
        <v>231</v>
      </c>
      <c r="G1817" s="55" t="s">
        <v>782</v>
      </c>
      <c r="H1817" s="50" t="s">
        <v>3520</v>
      </c>
    </row>
    <row r="1818" spans="1:66" x14ac:dyDescent="0.2">
      <c r="C1818" s="195">
        <v>44636</v>
      </c>
      <c r="D1818" s="55">
        <v>280</v>
      </c>
      <c r="E1818" s="55" t="s">
        <v>3521</v>
      </c>
      <c r="F1818" s="55" t="s">
        <v>390</v>
      </c>
      <c r="G1818" s="55" t="s">
        <v>391</v>
      </c>
      <c r="H1818" s="50" t="s">
        <v>3522</v>
      </c>
    </row>
    <row r="1819" spans="1:66" x14ac:dyDescent="0.2">
      <c r="C1819" s="195">
        <v>44641</v>
      </c>
      <c r="D1819" s="55">
        <v>260</v>
      </c>
      <c r="E1819" s="55" t="s">
        <v>3523</v>
      </c>
      <c r="F1819" s="55" t="s">
        <v>196</v>
      </c>
      <c r="G1819" s="55" t="s">
        <v>197</v>
      </c>
      <c r="H1819" s="50" t="s">
        <v>3524</v>
      </c>
    </row>
    <row r="1820" spans="1:66" x14ac:dyDescent="0.2">
      <c r="C1820" s="195">
        <v>44648</v>
      </c>
      <c r="D1820" s="55">
        <v>260</v>
      </c>
      <c r="E1820" s="55" t="s">
        <v>3525</v>
      </c>
      <c r="F1820" s="55" t="s">
        <v>244</v>
      </c>
      <c r="G1820" s="55" t="s">
        <v>767</v>
      </c>
      <c r="H1820" s="50" t="s">
        <v>224</v>
      </c>
    </row>
    <row r="1821" spans="1:66" x14ac:dyDescent="0.2">
      <c r="C1821" s="195">
        <v>44642</v>
      </c>
      <c r="D1821" s="55">
        <v>260</v>
      </c>
      <c r="E1821" s="55" t="s">
        <v>3526</v>
      </c>
      <c r="F1821" s="55" t="s">
        <v>390</v>
      </c>
      <c r="G1821" s="55" t="s">
        <v>671</v>
      </c>
      <c r="H1821" s="50" t="s">
        <v>3527</v>
      </c>
    </row>
    <row r="1822" spans="1:66" x14ac:dyDescent="0.2">
      <c r="C1822" s="195">
        <v>44636</v>
      </c>
      <c r="D1822" s="55">
        <v>260</v>
      </c>
      <c r="E1822" s="55" t="s">
        <v>3528</v>
      </c>
      <c r="F1822" s="55" t="s">
        <v>272</v>
      </c>
      <c r="G1822" s="55" t="s">
        <v>1040</v>
      </c>
      <c r="H1822" s="50" t="s">
        <v>3529</v>
      </c>
    </row>
    <row r="1823" spans="1:66" x14ac:dyDescent="0.2">
      <c r="C1823" s="195">
        <v>44622</v>
      </c>
      <c r="D1823" s="55">
        <v>280</v>
      </c>
      <c r="E1823" s="55" t="s">
        <v>3530</v>
      </c>
      <c r="F1823" s="55" t="s">
        <v>206</v>
      </c>
      <c r="G1823" s="55" t="s">
        <v>676</v>
      </c>
      <c r="H1823" s="50" t="s">
        <v>3531</v>
      </c>
    </row>
    <row r="1824" spans="1:66" x14ac:dyDescent="0.2">
      <c r="C1824" s="195">
        <v>44643</v>
      </c>
      <c r="D1824" s="55">
        <v>260</v>
      </c>
      <c r="E1824" s="55" t="s">
        <v>3532</v>
      </c>
      <c r="F1824" s="55" t="s">
        <v>196</v>
      </c>
      <c r="G1824" s="55" t="s">
        <v>352</v>
      </c>
      <c r="H1824" s="50" t="s">
        <v>3533</v>
      </c>
    </row>
    <row r="1825" spans="1:9" x14ac:dyDescent="0.2">
      <c r="C1825" s="195">
        <v>44641</v>
      </c>
      <c r="D1825" s="55">
        <v>260</v>
      </c>
      <c r="E1825" s="55" t="s">
        <v>3534</v>
      </c>
      <c r="F1825" s="55" t="s">
        <v>210</v>
      </c>
      <c r="G1825" s="55" t="s">
        <v>211</v>
      </c>
      <c r="H1825" s="50" t="s">
        <v>3535</v>
      </c>
    </row>
    <row r="1826" spans="1:9" x14ac:dyDescent="0.2">
      <c r="C1826" s="195">
        <v>44630</v>
      </c>
      <c r="D1826" s="55">
        <v>280</v>
      </c>
      <c r="E1826" s="55" t="s">
        <v>3536</v>
      </c>
      <c r="F1826" s="55" t="s">
        <v>192</v>
      </c>
      <c r="G1826" s="55" t="s">
        <v>563</v>
      </c>
      <c r="H1826" s="50" t="s">
        <v>3537</v>
      </c>
    </row>
    <row r="1827" spans="1:9" x14ac:dyDescent="0.2">
      <c r="C1827" s="195">
        <v>44651</v>
      </c>
      <c r="D1827" s="55">
        <v>280</v>
      </c>
      <c r="E1827" s="55" t="s">
        <v>3538</v>
      </c>
      <c r="F1827" s="55" t="s">
        <v>291</v>
      </c>
      <c r="G1827" s="55" t="s">
        <v>1215</v>
      </c>
      <c r="H1827" s="50" t="s">
        <v>3539</v>
      </c>
    </row>
    <row r="1828" spans="1:9" x14ac:dyDescent="0.2">
      <c r="C1828" s="195">
        <v>44638</v>
      </c>
      <c r="D1828" s="55">
        <v>280</v>
      </c>
      <c r="E1828" s="55" t="s">
        <v>3540</v>
      </c>
      <c r="F1828" s="55" t="s">
        <v>210</v>
      </c>
      <c r="G1828" s="55" t="s">
        <v>418</v>
      </c>
      <c r="H1828" s="50" t="s">
        <v>3541</v>
      </c>
    </row>
    <row r="1829" spans="1:9" x14ac:dyDescent="0.2">
      <c r="C1829" s="195">
        <v>44624</v>
      </c>
      <c r="D1829" s="55">
        <v>260</v>
      </c>
      <c r="E1829" s="55" t="s">
        <v>3542</v>
      </c>
      <c r="F1829" s="55" t="s">
        <v>272</v>
      </c>
      <c r="G1829" s="55" t="s">
        <v>1040</v>
      </c>
      <c r="H1829" s="50" t="s">
        <v>3543</v>
      </c>
    </row>
    <row r="1830" spans="1:9" x14ac:dyDescent="0.2">
      <c r="C1830" s="195">
        <v>44627</v>
      </c>
      <c r="D1830" s="55">
        <v>260</v>
      </c>
      <c r="E1830" s="55" t="s">
        <v>3544</v>
      </c>
      <c r="F1830" s="55" t="s">
        <v>244</v>
      </c>
      <c r="G1830" s="55" t="s">
        <v>1085</v>
      </c>
      <c r="H1830" s="50" t="s">
        <v>3545</v>
      </c>
    </row>
    <row r="1831" spans="1:9" x14ac:dyDescent="0.2">
      <c r="C1831" s="195">
        <v>44642</v>
      </c>
      <c r="D1831" s="55">
        <v>260</v>
      </c>
      <c r="E1831" s="55" t="s">
        <v>3546</v>
      </c>
      <c r="F1831" s="55" t="s">
        <v>267</v>
      </c>
      <c r="G1831" s="55" t="s">
        <v>442</v>
      </c>
      <c r="H1831" s="50" t="s">
        <v>3547</v>
      </c>
    </row>
    <row r="1832" spans="1:9" x14ac:dyDescent="0.2">
      <c r="C1832" s="195">
        <v>44624</v>
      </c>
      <c r="D1832" s="55">
        <v>260</v>
      </c>
      <c r="E1832" s="55" t="s">
        <v>3548</v>
      </c>
      <c r="F1832" s="55" t="s">
        <v>231</v>
      </c>
      <c r="G1832" s="55" t="s">
        <v>232</v>
      </c>
      <c r="H1832" s="50" t="s">
        <v>3549</v>
      </c>
    </row>
    <row r="1833" spans="1:9" x14ac:dyDescent="0.2">
      <c r="C1833" s="195">
        <v>44649</v>
      </c>
      <c r="D1833" s="55">
        <v>280</v>
      </c>
      <c r="E1833" s="55" t="s">
        <v>3550</v>
      </c>
      <c r="F1833" s="55" t="s">
        <v>231</v>
      </c>
      <c r="G1833" s="55" t="s">
        <v>2088</v>
      </c>
      <c r="H1833" s="50" t="s">
        <v>3551</v>
      </c>
    </row>
    <row r="1834" spans="1:9" x14ac:dyDescent="0.2">
      <c r="C1834" s="195">
        <v>44642</v>
      </c>
      <c r="D1834" s="55">
        <v>280</v>
      </c>
      <c r="E1834" s="55" t="s">
        <v>3552</v>
      </c>
      <c r="F1834" s="55" t="s">
        <v>192</v>
      </c>
      <c r="G1834" s="55" t="s">
        <v>640</v>
      </c>
      <c r="H1834" s="50" t="s">
        <v>3553</v>
      </c>
    </row>
    <row r="1835" spans="1:9" x14ac:dyDescent="0.2">
      <c r="C1835" s="195">
        <v>44622</v>
      </c>
      <c r="D1835" s="55">
        <v>280</v>
      </c>
      <c r="E1835" s="55" t="s">
        <v>3554</v>
      </c>
      <c r="F1835" s="55" t="s">
        <v>192</v>
      </c>
      <c r="G1835" s="55" t="s">
        <v>640</v>
      </c>
      <c r="H1835" s="50" t="s">
        <v>224</v>
      </c>
    </row>
    <row r="1836" spans="1:9" x14ac:dyDescent="0.2">
      <c r="C1836" s="195">
        <v>44634</v>
      </c>
      <c r="D1836" s="55">
        <v>280</v>
      </c>
      <c r="E1836" s="55" t="s">
        <v>3555</v>
      </c>
      <c r="F1836" s="55" t="s">
        <v>192</v>
      </c>
      <c r="G1836" s="55" t="s">
        <v>487</v>
      </c>
      <c r="H1836" s="50" t="s">
        <v>3556</v>
      </c>
    </row>
    <row r="1837" spans="1:9" x14ac:dyDescent="0.2">
      <c r="A1837" s="57">
        <v>322</v>
      </c>
      <c r="B1837" t="s">
        <v>836</v>
      </c>
      <c r="C1837" s="195">
        <v>44648</v>
      </c>
      <c r="D1837" s="55">
        <v>260</v>
      </c>
      <c r="E1837" s="55" t="s">
        <v>3557</v>
      </c>
      <c r="F1837" s="55" t="s">
        <v>202</v>
      </c>
      <c r="G1837" s="55" t="s">
        <v>297</v>
      </c>
      <c r="H1837" s="50" t="s">
        <v>3558</v>
      </c>
      <c r="I1837" s="46" t="s">
        <v>837</v>
      </c>
    </row>
    <row r="1838" spans="1:9" x14ac:dyDescent="0.2">
      <c r="C1838" s="195">
        <v>44638</v>
      </c>
      <c r="D1838" s="55">
        <v>280</v>
      </c>
      <c r="E1838" s="55" t="s">
        <v>3559</v>
      </c>
      <c r="F1838" s="55" t="s">
        <v>231</v>
      </c>
      <c r="G1838" s="55" t="s">
        <v>782</v>
      </c>
      <c r="H1838" s="50" t="s">
        <v>3560</v>
      </c>
    </row>
    <row r="1839" spans="1:9" x14ac:dyDescent="0.2">
      <c r="C1839" s="195">
        <v>44645</v>
      </c>
      <c r="D1839" s="55">
        <v>260</v>
      </c>
      <c r="E1839" s="55" t="s">
        <v>3561</v>
      </c>
      <c r="F1839" s="55" t="s">
        <v>202</v>
      </c>
      <c r="G1839" s="55" t="s">
        <v>341</v>
      </c>
      <c r="H1839" s="50" t="s">
        <v>3562</v>
      </c>
    </row>
    <row r="1840" spans="1:9" x14ac:dyDescent="0.2">
      <c r="C1840" s="195">
        <v>44649</v>
      </c>
      <c r="D1840" s="55">
        <v>280</v>
      </c>
      <c r="E1840" s="55" t="s">
        <v>3563</v>
      </c>
      <c r="F1840" s="55" t="s">
        <v>231</v>
      </c>
      <c r="G1840" s="55" t="s">
        <v>421</v>
      </c>
      <c r="H1840" s="50" t="s">
        <v>3564</v>
      </c>
    </row>
    <row r="1841" spans="1:9" x14ac:dyDescent="0.2">
      <c r="C1841" s="195">
        <v>44648</v>
      </c>
      <c r="D1841" s="55">
        <v>260</v>
      </c>
      <c r="E1841" s="55" t="s">
        <v>3565</v>
      </c>
      <c r="F1841" s="55" t="s">
        <v>196</v>
      </c>
      <c r="G1841" s="55" t="s">
        <v>361</v>
      </c>
      <c r="H1841" s="50" t="s">
        <v>3566</v>
      </c>
    </row>
    <row r="1842" spans="1:9" x14ac:dyDescent="0.2">
      <c r="C1842" s="195">
        <v>44650</v>
      </c>
      <c r="D1842" s="55">
        <v>260</v>
      </c>
      <c r="E1842" s="55" t="s">
        <v>3567</v>
      </c>
      <c r="F1842" s="55" t="s">
        <v>202</v>
      </c>
      <c r="G1842" s="55" t="s">
        <v>302</v>
      </c>
      <c r="H1842" s="50" t="s">
        <v>3568</v>
      </c>
    </row>
    <row r="1843" spans="1:9" x14ac:dyDescent="0.2">
      <c r="C1843" s="195">
        <v>44642</v>
      </c>
      <c r="D1843" s="55">
        <v>260</v>
      </c>
      <c r="E1843" s="55" t="s">
        <v>3569</v>
      </c>
      <c r="F1843" s="55" t="s">
        <v>192</v>
      </c>
      <c r="G1843" s="55" t="s">
        <v>640</v>
      </c>
      <c r="H1843" s="50" t="s">
        <v>3570</v>
      </c>
    </row>
    <row r="1844" spans="1:9" x14ac:dyDescent="0.2">
      <c r="C1844" s="195">
        <v>44650</v>
      </c>
      <c r="D1844" s="55">
        <v>280</v>
      </c>
      <c r="E1844" s="55" t="s">
        <v>3571</v>
      </c>
      <c r="F1844" s="55" t="s">
        <v>267</v>
      </c>
      <c r="G1844" s="55" t="s">
        <v>813</v>
      </c>
    </row>
    <row r="1845" spans="1:9" x14ac:dyDescent="0.2">
      <c r="A1845" s="57">
        <v>322</v>
      </c>
      <c r="B1845" t="s">
        <v>836</v>
      </c>
      <c r="C1845" s="195">
        <v>44635</v>
      </c>
      <c r="D1845" s="55">
        <v>260</v>
      </c>
      <c r="E1845" s="55" t="s">
        <v>3572</v>
      </c>
      <c r="F1845" s="55" t="s">
        <v>202</v>
      </c>
      <c r="G1845" s="55" t="s">
        <v>344</v>
      </c>
      <c r="H1845" s="50" t="s">
        <v>224</v>
      </c>
      <c r="I1845" s="46" t="s">
        <v>837</v>
      </c>
    </row>
    <row r="1846" spans="1:9" x14ac:dyDescent="0.2">
      <c r="C1846" s="195">
        <v>44645</v>
      </c>
      <c r="D1846" s="55">
        <v>260</v>
      </c>
      <c r="E1846" s="55" t="s">
        <v>3573</v>
      </c>
      <c r="F1846" s="55" t="s">
        <v>210</v>
      </c>
      <c r="G1846" s="55" t="s">
        <v>383</v>
      </c>
    </row>
    <row r="1847" spans="1:9" x14ac:dyDescent="0.2">
      <c r="C1847" s="195">
        <v>44641</v>
      </c>
      <c r="D1847" s="55">
        <v>280</v>
      </c>
      <c r="E1847" s="55" t="s">
        <v>3574</v>
      </c>
      <c r="F1847" s="55" t="s">
        <v>231</v>
      </c>
      <c r="G1847" s="55" t="s">
        <v>3096</v>
      </c>
      <c r="H1847" s="50" t="s">
        <v>3575</v>
      </c>
    </row>
    <row r="1848" spans="1:9" x14ac:dyDescent="0.2">
      <c r="C1848" s="195">
        <v>44651</v>
      </c>
      <c r="D1848" s="55">
        <v>260</v>
      </c>
      <c r="E1848" s="55" t="s">
        <v>3576</v>
      </c>
      <c r="F1848" s="55" t="s">
        <v>231</v>
      </c>
      <c r="G1848" s="55" t="s">
        <v>782</v>
      </c>
      <c r="H1848" s="50" t="s">
        <v>3577</v>
      </c>
    </row>
    <row r="1849" spans="1:9" x14ac:dyDescent="0.2">
      <c r="C1849" s="195">
        <v>44638</v>
      </c>
      <c r="D1849" s="55">
        <v>280</v>
      </c>
      <c r="E1849" s="55" t="s">
        <v>3578</v>
      </c>
      <c r="F1849" s="55" t="s">
        <v>244</v>
      </c>
      <c r="G1849" s="55" t="s">
        <v>393</v>
      </c>
      <c r="H1849" s="50" t="s">
        <v>3579</v>
      </c>
    </row>
    <row r="1850" spans="1:9" x14ac:dyDescent="0.2">
      <c r="C1850" s="195">
        <v>44648</v>
      </c>
      <c r="D1850" s="55">
        <v>280</v>
      </c>
      <c r="E1850" s="55" t="s">
        <v>3580</v>
      </c>
      <c r="F1850" s="55" t="s">
        <v>202</v>
      </c>
      <c r="G1850" s="55" t="s">
        <v>341</v>
      </c>
      <c r="H1850" s="50" t="s">
        <v>3581</v>
      </c>
    </row>
    <row r="1851" spans="1:9" x14ac:dyDescent="0.2">
      <c r="C1851" s="195">
        <v>44630</v>
      </c>
      <c r="D1851" s="55">
        <v>260</v>
      </c>
      <c r="E1851" s="55" t="s">
        <v>3582</v>
      </c>
      <c r="F1851" s="55" t="s">
        <v>192</v>
      </c>
      <c r="G1851" s="55" t="s">
        <v>193</v>
      </c>
      <c r="H1851" s="50" t="s">
        <v>200</v>
      </c>
    </row>
    <row r="1852" spans="1:9" x14ac:dyDescent="0.2">
      <c r="C1852" s="195">
        <v>44635</v>
      </c>
      <c r="D1852" s="55">
        <v>280</v>
      </c>
      <c r="E1852" s="55" t="s">
        <v>3583</v>
      </c>
      <c r="F1852" s="55" t="s">
        <v>244</v>
      </c>
      <c r="G1852" s="55" t="s">
        <v>767</v>
      </c>
      <c r="H1852" s="50" t="s">
        <v>3584</v>
      </c>
    </row>
    <row r="1853" spans="1:9" x14ac:dyDescent="0.2">
      <c r="C1853" s="195">
        <v>44648</v>
      </c>
      <c r="D1853" s="55">
        <v>260</v>
      </c>
      <c r="E1853" s="55" t="s">
        <v>3585</v>
      </c>
      <c r="F1853" s="55" t="s">
        <v>196</v>
      </c>
      <c r="G1853" s="55" t="s">
        <v>361</v>
      </c>
      <c r="H1853" s="50" t="s">
        <v>224</v>
      </c>
    </row>
    <row r="1854" spans="1:9" x14ac:dyDescent="0.2">
      <c r="C1854" s="195">
        <v>44628</v>
      </c>
      <c r="D1854" s="55">
        <v>260</v>
      </c>
      <c r="E1854" s="55" t="s">
        <v>3586</v>
      </c>
      <c r="F1854" s="55" t="s">
        <v>231</v>
      </c>
      <c r="G1854" s="55" t="s">
        <v>648</v>
      </c>
      <c r="H1854" s="50" t="s">
        <v>3587</v>
      </c>
    </row>
    <row r="1855" spans="1:9" x14ac:dyDescent="0.2">
      <c r="C1855" s="195">
        <v>44630</v>
      </c>
      <c r="D1855" s="55">
        <v>280</v>
      </c>
      <c r="E1855" s="55" t="s">
        <v>3588</v>
      </c>
      <c r="F1855" s="55" t="s">
        <v>192</v>
      </c>
      <c r="G1855" s="55" t="s">
        <v>563</v>
      </c>
      <c r="H1855" s="50" t="s">
        <v>3589</v>
      </c>
    </row>
    <row r="1856" spans="1:9" x14ac:dyDescent="0.2">
      <c r="C1856" s="195">
        <v>44624</v>
      </c>
      <c r="D1856" s="55">
        <v>280</v>
      </c>
      <c r="E1856" s="55" t="s">
        <v>3590</v>
      </c>
      <c r="F1856" s="55" t="s">
        <v>219</v>
      </c>
      <c r="G1856" s="55" t="s">
        <v>1732</v>
      </c>
      <c r="H1856" s="50" t="s">
        <v>3591</v>
      </c>
    </row>
    <row r="1857" spans="1:9" x14ac:dyDescent="0.2">
      <c r="C1857" s="195">
        <v>44650</v>
      </c>
      <c r="D1857" s="55">
        <v>280</v>
      </c>
      <c r="E1857" s="55" t="s">
        <v>3592</v>
      </c>
      <c r="F1857" s="55" t="s">
        <v>390</v>
      </c>
      <c r="G1857" s="55" t="s">
        <v>870</v>
      </c>
      <c r="H1857" s="50" t="s">
        <v>3593</v>
      </c>
    </row>
    <row r="1858" spans="1:9" x14ac:dyDescent="0.2">
      <c r="C1858" s="195">
        <v>44621</v>
      </c>
      <c r="D1858" s="55">
        <v>260</v>
      </c>
      <c r="E1858" s="55" t="s">
        <v>3594</v>
      </c>
      <c r="F1858" s="55" t="s">
        <v>263</v>
      </c>
      <c r="G1858" s="55" t="s">
        <v>995</v>
      </c>
      <c r="H1858" s="50" t="s">
        <v>3595</v>
      </c>
    </row>
    <row r="1859" spans="1:9" x14ac:dyDescent="0.2">
      <c r="C1859" s="195">
        <v>44650</v>
      </c>
      <c r="D1859" s="55">
        <v>280</v>
      </c>
      <c r="E1859" s="55" t="s">
        <v>3596</v>
      </c>
      <c r="F1859" s="55" t="s">
        <v>291</v>
      </c>
      <c r="G1859" s="55" t="s">
        <v>2723</v>
      </c>
      <c r="H1859" s="50" t="s">
        <v>3597</v>
      </c>
    </row>
    <row r="1860" spans="1:9" x14ac:dyDescent="0.2">
      <c r="C1860" s="195">
        <v>44636</v>
      </c>
      <c r="D1860" s="55">
        <v>280</v>
      </c>
      <c r="E1860" s="55" t="s">
        <v>3598</v>
      </c>
      <c r="F1860" s="55" t="s">
        <v>231</v>
      </c>
      <c r="G1860" s="55" t="s">
        <v>1241</v>
      </c>
      <c r="H1860" s="50" t="s">
        <v>3599</v>
      </c>
    </row>
    <row r="1861" spans="1:9" x14ac:dyDescent="0.2">
      <c r="C1861" s="195">
        <v>44631</v>
      </c>
      <c r="D1861" s="55">
        <v>260</v>
      </c>
      <c r="E1861" s="55" t="s">
        <v>3600</v>
      </c>
      <c r="F1861" s="55" t="s">
        <v>231</v>
      </c>
      <c r="G1861" s="55" t="s">
        <v>255</v>
      </c>
      <c r="H1861" s="50" t="s">
        <v>3601</v>
      </c>
    </row>
    <row r="1862" spans="1:9" x14ac:dyDescent="0.2">
      <c r="C1862" s="195">
        <v>44648</v>
      </c>
      <c r="D1862" s="55">
        <v>260</v>
      </c>
      <c r="E1862" s="55" t="s">
        <v>3602</v>
      </c>
      <c r="F1862" s="55" t="s">
        <v>244</v>
      </c>
      <c r="G1862" s="55" t="s">
        <v>1085</v>
      </c>
      <c r="H1862" s="50" t="s">
        <v>3603</v>
      </c>
    </row>
    <row r="1863" spans="1:9" x14ac:dyDescent="0.2">
      <c r="C1863" s="195">
        <v>44642</v>
      </c>
      <c r="D1863" s="55">
        <v>260</v>
      </c>
      <c r="E1863" s="55" t="s">
        <v>3604</v>
      </c>
      <c r="F1863" s="55" t="s">
        <v>267</v>
      </c>
      <c r="G1863" s="55" t="s">
        <v>442</v>
      </c>
    </row>
    <row r="1864" spans="1:9" x14ac:dyDescent="0.2">
      <c r="C1864" s="195">
        <v>44648</v>
      </c>
      <c r="D1864" s="55">
        <v>260</v>
      </c>
      <c r="E1864" s="55" t="s">
        <v>3605</v>
      </c>
      <c r="F1864" s="55" t="s">
        <v>244</v>
      </c>
      <c r="G1864" s="55" t="s">
        <v>767</v>
      </c>
      <c r="H1864" s="50" t="s">
        <v>224</v>
      </c>
    </row>
    <row r="1865" spans="1:9" x14ac:dyDescent="0.2">
      <c r="C1865" s="195">
        <v>44621</v>
      </c>
      <c r="D1865" s="55">
        <v>260</v>
      </c>
      <c r="E1865" s="55" t="s">
        <v>3606</v>
      </c>
      <c r="F1865" s="55" t="s">
        <v>263</v>
      </c>
      <c r="G1865" s="55" t="s">
        <v>995</v>
      </c>
      <c r="H1865" s="50" t="s">
        <v>3607</v>
      </c>
    </row>
    <row r="1866" spans="1:9" x14ac:dyDescent="0.2">
      <c r="C1866" s="195">
        <v>44635</v>
      </c>
      <c r="D1866" s="55">
        <v>280</v>
      </c>
      <c r="E1866" s="55" t="s">
        <v>3608</v>
      </c>
      <c r="F1866" s="55" t="s">
        <v>219</v>
      </c>
      <c r="G1866" s="55" t="s">
        <v>540</v>
      </c>
      <c r="H1866" s="50" t="s">
        <v>3609</v>
      </c>
    </row>
    <row r="1867" spans="1:9" x14ac:dyDescent="0.2">
      <c r="C1867" s="195">
        <v>44642</v>
      </c>
      <c r="D1867" s="55">
        <v>260</v>
      </c>
      <c r="E1867" s="55" t="s">
        <v>3610</v>
      </c>
      <c r="F1867" s="55" t="s">
        <v>231</v>
      </c>
      <c r="G1867" s="55" t="s">
        <v>421</v>
      </c>
      <c r="H1867" s="50" t="s">
        <v>3611</v>
      </c>
    </row>
    <row r="1868" spans="1:9" x14ac:dyDescent="0.2">
      <c r="C1868" s="195">
        <v>44645</v>
      </c>
      <c r="D1868" s="55">
        <v>260</v>
      </c>
      <c r="E1868" s="55" t="s">
        <v>3612</v>
      </c>
      <c r="F1868" s="55" t="s">
        <v>219</v>
      </c>
      <c r="G1868" s="55" t="s">
        <v>220</v>
      </c>
      <c r="H1868" s="50" t="s">
        <v>224</v>
      </c>
    </row>
    <row r="1869" spans="1:9" x14ac:dyDescent="0.2">
      <c r="C1869" s="195">
        <v>44627</v>
      </c>
      <c r="D1869" s="55">
        <v>260</v>
      </c>
      <c r="E1869" s="55" t="s">
        <v>3613</v>
      </c>
      <c r="F1869" s="55" t="s">
        <v>219</v>
      </c>
      <c r="G1869" s="55" t="s">
        <v>1732</v>
      </c>
      <c r="H1869" s="50" t="s">
        <v>3614</v>
      </c>
    </row>
    <row r="1870" spans="1:9" x14ac:dyDescent="0.2">
      <c r="C1870" s="195">
        <v>44627</v>
      </c>
      <c r="D1870" s="55">
        <v>260</v>
      </c>
      <c r="E1870" s="55" t="s">
        <v>3615</v>
      </c>
      <c r="F1870" s="55" t="s">
        <v>272</v>
      </c>
      <c r="G1870" s="55" t="s">
        <v>366</v>
      </c>
      <c r="H1870" s="50" t="s">
        <v>3616</v>
      </c>
    </row>
    <row r="1871" spans="1:9" x14ac:dyDescent="0.2">
      <c r="A1871" s="57">
        <v>322</v>
      </c>
      <c r="B1871" t="s">
        <v>836</v>
      </c>
      <c r="C1871" s="195">
        <v>44638</v>
      </c>
      <c r="D1871" s="55">
        <v>260</v>
      </c>
      <c r="E1871" s="55" t="s">
        <v>3617</v>
      </c>
      <c r="F1871" s="55" t="s">
        <v>192</v>
      </c>
      <c r="G1871" s="55" t="s">
        <v>258</v>
      </c>
      <c r="H1871" s="50" t="s">
        <v>224</v>
      </c>
      <c r="I1871" s="46" t="s">
        <v>837</v>
      </c>
    </row>
    <row r="1872" spans="1:9" x14ac:dyDescent="0.2">
      <c r="C1872" s="195">
        <v>44641</v>
      </c>
      <c r="D1872" s="55">
        <v>280</v>
      </c>
      <c r="E1872" s="55" t="s">
        <v>3618</v>
      </c>
      <c r="F1872" s="55" t="s">
        <v>196</v>
      </c>
      <c r="G1872" s="55" t="s">
        <v>361</v>
      </c>
      <c r="H1872" s="50" t="s">
        <v>3619</v>
      </c>
    </row>
    <row r="1873" spans="3:8" x14ac:dyDescent="0.2">
      <c r="C1873" s="195">
        <v>44623</v>
      </c>
      <c r="D1873" s="55">
        <v>280</v>
      </c>
      <c r="E1873" s="55" t="s">
        <v>3620</v>
      </c>
      <c r="F1873" s="55" t="s">
        <v>231</v>
      </c>
      <c r="G1873" s="55" t="s">
        <v>648</v>
      </c>
      <c r="H1873" s="50" t="s">
        <v>3621</v>
      </c>
    </row>
    <row r="1874" spans="3:8" x14ac:dyDescent="0.2">
      <c r="C1874" s="195">
        <v>44644</v>
      </c>
      <c r="D1874" s="55">
        <v>280</v>
      </c>
      <c r="E1874" s="55" t="s">
        <v>3622</v>
      </c>
      <c r="F1874" s="55" t="s">
        <v>263</v>
      </c>
      <c r="G1874" s="55" t="s">
        <v>413</v>
      </c>
      <c r="H1874" s="50" t="s">
        <v>3623</v>
      </c>
    </row>
    <row r="1875" spans="3:8" x14ac:dyDescent="0.2">
      <c r="C1875" s="195">
        <v>44644</v>
      </c>
      <c r="D1875" s="55">
        <v>280</v>
      </c>
      <c r="E1875" s="55" t="s">
        <v>3624</v>
      </c>
      <c r="F1875" s="55" t="s">
        <v>206</v>
      </c>
      <c r="G1875" s="55" t="s">
        <v>228</v>
      </c>
      <c r="H1875" s="50" t="s">
        <v>3625</v>
      </c>
    </row>
    <row r="1876" spans="3:8" x14ac:dyDescent="0.2">
      <c r="C1876" s="195">
        <v>44630</v>
      </c>
      <c r="D1876" s="55">
        <v>280</v>
      </c>
      <c r="E1876" s="55" t="s">
        <v>3626</v>
      </c>
      <c r="F1876" s="55" t="s">
        <v>263</v>
      </c>
      <c r="G1876" s="55" t="s">
        <v>579</v>
      </c>
      <c r="H1876" s="50" t="s">
        <v>224</v>
      </c>
    </row>
    <row r="1877" spans="3:8" x14ac:dyDescent="0.2">
      <c r="C1877" s="195">
        <v>44636</v>
      </c>
      <c r="D1877" s="55">
        <v>280</v>
      </c>
      <c r="E1877" s="55" t="s">
        <v>3627</v>
      </c>
      <c r="F1877" s="55" t="s">
        <v>263</v>
      </c>
      <c r="G1877" s="55" t="s">
        <v>506</v>
      </c>
      <c r="H1877" s="50" t="s">
        <v>3628</v>
      </c>
    </row>
    <row r="1878" spans="3:8" x14ac:dyDescent="0.2">
      <c r="C1878" s="195">
        <v>44628</v>
      </c>
      <c r="D1878" s="55">
        <v>280</v>
      </c>
      <c r="E1878" s="55" t="s">
        <v>3629</v>
      </c>
      <c r="F1878" s="55" t="s">
        <v>272</v>
      </c>
      <c r="G1878" s="55" t="s">
        <v>683</v>
      </c>
      <c r="H1878" s="50" t="s">
        <v>224</v>
      </c>
    </row>
    <row r="1879" spans="3:8" x14ac:dyDescent="0.2">
      <c r="C1879" s="195">
        <v>44635</v>
      </c>
      <c r="D1879" s="55">
        <v>260</v>
      </c>
      <c r="E1879" s="55" t="s">
        <v>3630</v>
      </c>
      <c r="F1879" s="55" t="s">
        <v>202</v>
      </c>
      <c r="G1879" s="55" t="s">
        <v>1146</v>
      </c>
      <c r="H1879" s="50" t="s">
        <v>3631</v>
      </c>
    </row>
    <row r="1880" spans="3:8" x14ac:dyDescent="0.2">
      <c r="C1880" s="195">
        <v>44650</v>
      </c>
      <c r="D1880" s="55">
        <v>260</v>
      </c>
      <c r="E1880" s="55" t="s">
        <v>3632</v>
      </c>
      <c r="F1880" s="55" t="s">
        <v>267</v>
      </c>
      <c r="G1880" s="55" t="s">
        <v>442</v>
      </c>
    </row>
    <row r="1881" spans="3:8" x14ac:dyDescent="0.2">
      <c r="C1881" s="195">
        <v>44629</v>
      </c>
      <c r="D1881" s="55">
        <v>280</v>
      </c>
      <c r="E1881" s="55" t="s">
        <v>3633</v>
      </c>
      <c r="F1881" s="55" t="s">
        <v>231</v>
      </c>
      <c r="G1881" s="55" t="s">
        <v>1098</v>
      </c>
      <c r="H1881" s="50" t="s">
        <v>3634</v>
      </c>
    </row>
    <row r="1882" spans="3:8" x14ac:dyDescent="0.2">
      <c r="C1882" s="195">
        <v>44627</v>
      </c>
      <c r="D1882" s="55">
        <v>280</v>
      </c>
      <c r="E1882" s="55" t="s">
        <v>3635</v>
      </c>
      <c r="F1882" s="55" t="s">
        <v>196</v>
      </c>
      <c r="G1882" s="55" t="s">
        <v>349</v>
      </c>
      <c r="H1882" s="50" t="s">
        <v>3636</v>
      </c>
    </row>
    <row r="1883" spans="3:8" x14ac:dyDescent="0.2">
      <c r="C1883" s="195">
        <v>44622</v>
      </c>
      <c r="D1883" s="55">
        <v>280</v>
      </c>
      <c r="E1883" s="55" t="s">
        <v>3637</v>
      </c>
      <c r="F1883" s="55" t="s">
        <v>196</v>
      </c>
      <c r="G1883" s="55" t="s">
        <v>645</v>
      </c>
      <c r="H1883" s="50" t="s">
        <v>3638</v>
      </c>
    </row>
    <row r="1884" spans="3:8" x14ac:dyDescent="0.2">
      <c r="C1884" s="195">
        <v>44651</v>
      </c>
      <c r="D1884" s="55">
        <v>280</v>
      </c>
      <c r="E1884" s="55" t="s">
        <v>3639</v>
      </c>
      <c r="F1884" s="55" t="s">
        <v>219</v>
      </c>
      <c r="G1884" s="55" t="s">
        <v>561</v>
      </c>
      <c r="H1884" s="50" t="s">
        <v>3640</v>
      </c>
    </row>
    <row r="1885" spans="3:8" x14ac:dyDescent="0.2">
      <c r="C1885" s="195">
        <v>44645</v>
      </c>
      <c r="D1885" s="55">
        <v>260</v>
      </c>
      <c r="E1885" s="55" t="s">
        <v>3641</v>
      </c>
      <c r="F1885" s="55" t="s">
        <v>202</v>
      </c>
      <c r="G1885" s="55" t="s">
        <v>341</v>
      </c>
      <c r="H1885" s="50" t="s">
        <v>3642</v>
      </c>
    </row>
    <row r="1886" spans="3:8" x14ac:dyDescent="0.2">
      <c r="C1886" s="195">
        <v>44636</v>
      </c>
      <c r="D1886" s="55">
        <v>280</v>
      </c>
      <c r="E1886" s="55" t="s">
        <v>3643</v>
      </c>
      <c r="F1886" s="55" t="s">
        <v>244</v>
      </c>
      <c r="G1886" s="55" t="s">
        <v>315</v>
      </c>
      <c r="H1886" s="50" t="s">
        <v>3644</v>
      </c>
    </row>
    <row r="1887" spans="3:8" x14ac:dyDescent="0.2">
      <c r="C1887" s="195">
        <v>44622</v>
      </c>
      <c r="D1887" s="55">
        <v>260</v>
      </c>
      <c r="E1887" s="55" t="s">
        <v>3645</v>
      </c>
      <c r="F1887" s="55" t="s">
        <v>244</v>
      </c>
      <c r="G1887" s="55" t="s">
        <v>260</v>
      </c>
      <c r="H1887" s="50" t="s">
        <v>3646</v>
      </c>
    </row>
    <row r="1888" spans="3:8" x14ac:dyDescent="0.2">
      <c r="C1888" s="195">
        <v>44624</v>
      </c>
      <c r="D1888" s="55">
        <v>280</v>
      </c>
      <c r="E1888" s="55" t="s">
        <v>3647</v>
      </c>
      <c r="F1888" s="55" t="s">
        <v>219</v>
      </c>
      <c r="G1888" s="55" t="s">
        <v>223</v>
      </c>
    </row>
    <row r="1889" spans="1:66" x14ac:dyDescent="0.2">
      <c r="C1889" s="195">
        <v>44651</v>
      </c>
      <c r="D1889" s="55">
        <v>260</v>
      </c>
      <c r="E1889" s="55" t="s">
        <v>3648</v>
      </c>
      <c r="F1889" s="55" t="s">
        <v>192</v>
      </c>
      <c r="G1889" s="55" t="s">
        <v>258</v>
      </c>
      <c r="H1889" s="50" t="s">
        <v>3649</v>
      </c>
    </row>
    <row r="1890" spans="1:66" x14ac:dyDescent="0.2">
      <c r="C1890" s="195">
        <v>44650</v>
      </c>
      <c r="D1890" s="55">
        <v>260</v>
      </c>
      <c r="E1890" s="55" t="s">
        <v>3650</v>
      </c>
      <c r="F1890" s="55" t="s">
        <v>244</v>
      </c>
      <c r="G1890" s="55" t="s">
        <v>393</v>
      </c>
      <c r="H1890" s="50" t="s">
        <v>3651</v>
      </c>
    </row>
    <row r="1891" spans="1:66" x14ac:dyDescent="0.2">
      <c r="A1891" s="57">
        <v>322</v>
      </c>
      <c r="B1891" s="162" t="s">
        <v>836</v>
      </c>
      <c r="C1891" s="195">
        <v>44644</v>
      </c>
      <c r="D1891" s="55">
        <v>260</v>
      </c>
      <c r="E1891" s="55" t="s">
        <v>3652</v>
      </c>
      <c r="F1891" s="55" t="s">
        <v>263</v>
      </c>
      <c r="G1891" s="55" t="s">
        <v>426</v>
      </c>
      <c r="H1891" s="50" t="s">
        <v>224</v>
      </c>
      <c r="I1891" s="46" t="s">
        <v>839</v>
      </c>
      <c r="J1891" s="52">
        <v>1</v>
      </c>
      <c r="K1891" s="52">
        <v>1</v>
      </c>
      <c r="O1891" s="1">
        <v>1</v>
      </c>
      <c r="S1891" s="1">
        <v>1</v>
      </c>
      <c r="W1891" s="1">
        <v>1</v>
      </c>
      <c r="AA1891" s="1">
        <v>4</v>
      </c>
      <c r="AB1891" s="1">
        <v>1</v>
      </c>
      <c r="AC1891" s="59">
        <v>1</v>
      </c>
      <c r="AD1891" s="1">
        <v>1</v>
      </c>
      <c r="AE1891" s="1">
        <v>1</v>
      </c>
      <c r="AF1891" s="1">
        <v>1</v>
      </c>
      <c r="AG1891">
        <v>1</v>
      </c>
      <c r="AM1891">
        <v>1</v>
      </c>
      <c r="AN1891">
        <v>1</v>
      </c>
      <c r="AO1891">
        <v>1</v>
      </c>
      <c r="AP1891">
        <v>1</v>
      </c>
      <c r="AQ1891">
        <v>1</v>
      </c>
      <c r="AR1891">
        <v>1</v>
      </c>
      <c r="AS1891">
        <v>2</v>
      </c>
      <c r="AT1891">
        <v>1</v>
      </c>
      <c r="AU1891">
        <v>1</v>
      </c>
      <c r="AZ1891">
        <v>1</v>
      </c>
      <c r="BA1891">
        <v>1</v>
      </c>
      <c r="BB1891">
        <v>1</v>
      </c>
      <c r="BC1891">
        <v>1</v>
      </c>
      <c r="BD1891">
        <v>1</v>
      </c>
      <c r="BE1891">
        <v>1</v>
      </c>
      <c r="BJ1891">
        <v>1</v>
      </c>
    </row>
    <row r="1892" spans="1:66" x14ac:dyDescent="0.2">
      <c r="C1892" s="195">
        <v>44651</v>
      </c>
      <c r="D1892" s="55">
        <v>260</v>
      </c>
      <c r="E1892" s="55" t="s">
        <v>3653</v>
      </c>
      <c r="F1892" s="55" t="s">
        <v>202</v>
      </c>
      <c r="G1892" s="55" t="s">
        <v>1146</v>
      </c>
      <c r="H1892" s="50" t="s">
        <v>3654</v>
      </c>
    </row>
    <row r="1893" spans="1:66" x14ac:dyDescent="0.2">
      <c r="A1893" s="57">
        <v>222</v>
      </c>
      <c r="B1893" s="162" t="s">
        <v>3655</v>
      </c>
      <c r="C1893" s="195">
        <v>44631.436388888891</v>
      </c>
      <c r="D1893" s="55">
        <v>260</v>
      </c>
      <c r="I1893" s="46" t="s">
        <v>839</v>
      </c>
      <c r="J1893" s="162">
        <v>1</v>
      </c>
      <c r="K1893" s="162">
        <v>1</v>
      </c>
      <c r="L1893" s="162"/>
      <c r="M1893" s="162"/>
      <c r="N1893" s="162"/>
      <c r="O1893" s="162">
        <v>1</v>
      </c>
      <c r="P1893" s="162"/>
      <c r="Q1893" s="162"/>
      <c r="R1893" s="162"/>
      <c r="S1893" s="162">
        <v>1</v>
      </c>
      <c r="T1893" s="162"/>
      <c r="U1893" s="162"/>
      <c r="V1893" s="162"/>
      <c r="W1893" s="162">
        <v>1</v>
      </c>
      <c r="X1893" s="162"/>
      <c r="Y1893" s="162"/>
      <c r="Z1893" s="162"/>
      <c r="AA1893" s="162">
        <v>1</v>
      </c>
      <c r="AB1893" s="162"/>
      <c r="AC1893" s="162"/>
      <c r="AD1893" s="162"/>
      <c r="AE1893" s="162"/>
      <c r="AF1893" s="162"/>
      <c r="AG1893" s="162">
        <v>1</v>
      </c>
      <c r="AH1893" s="162"/>
      <c r="AI1893" s="162"/>
      <c r="AJ1893" s="162"/>
      <c r="AK1893" s="162"/>
      <c r="AL1893" s="162"/>
      <c r="AM1893" s="162">
        <v>4</v>
      </c>
      <c r="AN1893" s="162"/>
      <c r="AO1893" s="162"/>
      <c r="AP1893" s="162"/>
      <c r="AQ1893" s="162"/>
      <c r="AR1893" s="162"/>
      <c r="AS1893" s="162">
        <v>4</v>
      </c>
      <c r="AT1893" s="162">
        <v>1</v>
      </c>
      <c r="AU1893" s="162">
        <v>1</v>
      </c>
      <c r="AV1893" s="162"/>
      <c r="AW1893" s="162"/>
      <c r="AX1893" s="162"/>
      <c r="AY1893" s="162"/>
      <c r="AZ1893" s="162">
        <v>1</v>
      </c>
      <c r="BA1893" s="162">
        <v>1</v>
      </c>
      <c r="BB1893" s="162">
        <v>1</v>
      </c>
      <c r="BC1893" s="162">
        <v>1</v>
      </c>
      <c r="BD1893" s="162">
        <v>1</v>
      </c>
      <c r="BE1893" s="162">
        <v>1</v>
      </c>
      <c r="BF1893" s="162"/>
      <c r="BG1893" s="162"/>
      <c r="BH1893" s="162"/>
      <c r="BI1893" s="162"/>
      <c r="BJ1893" s="162">
        <v>1</v>
      </c>
      <c r="BK1893" s="162"/>
      <c r="BL1893" s="162"/>
      <c r="BM1893" s="162"/>
      <c r="BN1893" s="162"/>
    </row>
    <row r="1894" spans="1:66" x14ac:dyDescent="0.2">
      <c r="A1894" s="57">
        <v>222</v>
      </c>
      <c r="B1894" s="162" t="s">
        <v>3655</v>
      </c>
      <c r="C1894" s="195">
        <v>44628.28528935185</v>
      </c>
      <c r="D1894" s="55">
        <v>260</v>
      </c>
      <c r="I1894" s="46" t="s">
        <v>839</v>
      </c>
      <c r="J1894" s="162">
        <v>1</v>
      </c>
      <c r="K1894" s="162">
        <v>1</v>
      </c>
      <c r="L1894" s="162"/>
      <c r="M1894" s="162"/>
      <c r="N1894" s="162"/>
      <c r="O1894" s="162">
        <v>1</v>
      </c>
      <c r="P1894" s="162"/>
      <c r="Q1894" s="162"/>
      <c r="R1894" s="162"/>
      <c r="S1894" s="162">
        <v>1</v>
      </c>
      <c r="T1894" s="162"/>
      <c r="U1894" s="162"/>
      <c r="V1894" s="162"/>
      <c r="W1894" s="162">
        <v>1</v>
      </c>
      <c r="X1894" s="162"/>
      <c r="Y1894" s="162"/>
      <c r="Z1894" s="162"/>
      <c r="AA1894" s="162">
        <v>1</v>
      </c>
      <c r="AB1894" s="162"/>
      <c r="AC1894" s="162"/>
      <c r="AD1894" s="162"/>
      <c r="AE1894" s="162"/>
      <c r="AF1894" s="162"/>
      <c r="AG1894" s="162">
        <v>2</v>
      </c>
      <c r="AH1894" s="162"/>
      <c r="AI1894" s="162"/>
      <c r="AJ1894" s="162"/>
      <c r="AK1894" s="162"/>
      <c r="AL1894" s="162"/>
      <c r="AM1894" s="162">
        <v>4</v>
      </c>
      <c r="AN1894" s="162"/>
      <c r="AO1894" s="162"/>
      <c r="AP1894" s="162"/>
      <c r="AQ1894" s="162"/>
      <c r="AR1894" s="162"/>
      <c r="AS1894" s="162">
        <v>4</v>
      </c>
      <c r="AT1894" s="162">
        <v>1</v>
      </c>
      <c r="AU1894" s="162">
        <v>2</v>
      </c>
      <c r="AV1894" s="162"/>
      <c r="AW1894" s="162"/>
      <c r="AX1894" s="162"/>
      <c r="AY1894" s="162"/>
      <c r="AZ1894" s="162">
        <v>1</v>
      </c>
      <c r="BA1894" s="162">
        <v>1</v>
      </c>
      <c r="BB1894" s="162">
        <v>1</v>
      </c>
      <c r="BC1894" s="162">
        <v>1</v>
      </c>
      <c r="BD1894" s="162">
        <v>1</v>
      </c>
      <c r="BE1894" s="162">
        <v>1</v>
      </c>
      <c r="BF1894" s="162"/>
      <c r="BG1894" s="162"/>
      <c r="BH1894" s="162"/>
      <c r="BI1894" s="162"/>
      <c r="BJ1894" s="162">
        <v>1</v>
      </c>
      <c r="BK1894" s="162"/>
      <c r="BL1894" s="162"/>
      <c r="BM1894" s="162"/>
      <c r="BN1894" s="162"/>
    </row>
    <row r="1895" spans="1:66" x14ac:dyDescent="0.2">
      <c r="A1895" s="57">
        <v>222</v>
      </c>
      <c r="B1895" s="162" t="s">
        <v>3655</v>
      </c>
      <c r="C1895" s="195">
        <v>44626.781145833331</v>
      </c>
      <c r="D1895" s="55">
        <v>260</v>
      </c>
      <c r="I1895" s="46" t="s">
        <v>839</v>
      </c>
      <c r="J1895" s="162">
        <v>1</v>
      </c>
      <c r="K1895" s="162">
        <v>1</v>
      </c>
      <c r="L1895" s="162"/>
      <c r="M1895" s="162"/>
      <c r="N1895" s="162"/>
      <c r="O1895" s="162">
        <v>1</v>
      </c>
      <c r="P1895" s="162"/>
      <c r="Q1895" s="162"/>
      <c r="R1895" s="162"/>
      <c r="S1895" s="162">
        <v>1</v>
      </c>
      <c r="T1895" s="162"/>
      <c r="U1895" s="162"/>
      <c r="V1895" s="162"/>
      <c r="W1895" s="162">
        <v>1</v>
      </c>
      <c r="X1895" s="162"/>
      <c r="Y1895" s="162"/>
      <c r="Z1895" s="162"/>
      <c r="AA1895" s="162">
        <v>1</v>
      </c>
      <c r="AB1895" s="162"/>
      <c r="AC1895" s="162"/>
      <c r="AD1895" s="162"/>
      <c r="AE1895" s="162"/>
      <c r="AF1895" s="162"/>
      <c r="AG1895" s="162">
        <v>1</v>
      </c>
      <c r="AH1895" s="162"/>
      <c r="AI1895" s="162"/>
      <c r="AJ1895" s="162"/>
      <c r="AK1895" s="162"/>
      <c r="AL1895" s="162"/>
      <c r="AM1895" s="162">
        <v>1</v>
      </c>
      <c r="AN1895" s="162">
        <v>1</v>
      </c>
      <c r="AO1895" s="162">
        <v>1</v>
      </c>
      <c r="AP1895" s="162">
        <v>1</v>
      </c>
      <c r="AQ1895" s="162">
        <v>1</v>
      </c>
      <c r="AR1895" s="162">
        <v>1</v>
      </c>
      <c r="AS1895" s="162">
        <v>4</v>
      </c>
      <c r="AT1895" s="162">
        <v>1</v>
      </c>
      <c r="AU1895" s="162">
        <v>1</v>
      </c>
      <c r="AV1895" s="162"/>
      <c r="AW1895" s="162"/>
      <c r="AX1895" s="162"/>
      <c r="AY1895" s="162"/>
      <c r="AZ1895" s="162">
        <v>1</v>
      </c>
      <c r="BA1895" s="162">
        <v>1</v>
      </c>
      <c r="BB1895" s="162">
        <v>1</v>
      </c>
      <c r="BC1895" s="162">
        <v>1</v>
      </c>
      <c r="BD1895" s="162">
        <v>1</v>
      </c>
      <c r="BE1895" s="162">
        <v>1</v>
      </c>
      <c r="BF1895" s="162"/>
      <c r="BG1895" s="162"/>
      <c r="BH1895" s="162"/>
      <c r="BI1895" s="162"/>
      <c r="BJ1895" s="162">
        <v>1</v>
      </c>
      <c r="BK1895" s="162"/>
      <c r="BL1895" s="162"/>
      <c r="BM1895" s="162"/>
      <c r="BN1895" s="162"/>
    </row>
    <row r="1896" spans="1:66" x14ac:dyDescent="0.2">
      <c r="A1896" s="57">
        <v>222</v>
      </c>
      <c r="B1896" s="162" t="s">
        <v>3655</v>
      </c>
      <c r="C1896" s="195">
        <v>44625.721446759257</v>
      </c>
      <c r="D1896" s="55">
        <v>260</v>
      </c>
      <c r="I1896" s="46" t="s">
        <v>839</v>
      </c>
      <c r="J1896" s="162">
        <v>1</v>
      </c>
      <c r="K1896" s="162">
        <v>1</v>
      </c>
      <c r="L1896" s="162"/>
      <c r="M1896" s="162"/>
      <c r="N1896" s="162"/>
      <c r="O1896" s="162">
        <v>1</v>
      </c>
      <c r="P1896" s="162"/>
      <c r="Q1896" s="162"/>
      <c r="R1896" s="162"/>
      <c r="S1896" s="162">
        <v>1</v>
      </c>
      <c r="T1896" s="162"/>
      <c r="U1896" s="162"/>
      <c r="V1896" s="162"/>
      <c r="W1896" s="162">
        <v>1</v>
      </c>
      <c r="X1896" s="162"/>
      <c r="Y1896" s="162"/>
      <c r="Z1896" s="162"/>
      <c r="AA1896" s="162">
        <v>1</v>
      </c>
      <c r="AB1896" s="162"/>
      <c r="AC1896" s="162"/>
      <c r="AD1896" s="162"/>
      <c r="AE1896" s="162"/>
      <c r="AF1896" s="162"/>
      <c r="AG1896" s="162">
        <v>1</v>
      </c>
      <c r="AH1896" s="162"/>
      <c r="AI1896" s="162"/>
      <c r="AJ1896" s="162"/>
      <c r="AK1896" s="162"/>
      <c r="AL1896" s="162"/>
      <c r="AM1896" s="162">
        <v>4</v>
      </c>
      <c r="AN1896" s="162"/>
      <c r="AO1896" s="162"/>
      <c r="AP1896" s="162"/>
      <c r="AQ1896" s="162"/>
      <c r="AR1896" s="162"/>
      <c r="AS1896" s="162">
        <v>4</v>
      </c>
      <c r="AT1896" s="162">
        <v>1</v>
      </c>
      <c r="AU1896" s="162">
        <v>1</v>
      </c>
      <c r="AV1896" s="162"/>
      <c r="AW1896" s="162"/>
      <c r="AX1896" s="162"/>
      <c r="AY1896" s="162"/>
      <c r="AZ1896" s="162">
        <v>1</v>
      </c>
      <c r="BA1896" s="162">
        <v>1</v>
      </c>
      <c r="BB1896" s="162">
        <v>1</v>
      </c>
      <c r="BC1896" s="162">
        <v>1</v>
      </c>
      <c r="BD1896" s="162">
        <v>1</v>
      </c>
      <c r="BE1896" s="162">
        <v>1</v>
      </c>
      <c r="BF1896" s="162"/>
      <c r="BG1896" s="162"/>
      <c r="BH1896" s="162"/>
      <c r="BI1896" s="162"/>
      <c r="BJ1896" s="162">
        <v>1</v>
      </c>
      <c r="BK1896" s="162"/>
      <c r="BL1896" s="162"/>
      <c r="BM1896" s="162"/>
      <c r="BN1896" s="162"/>
    </row>
    <row r="1897" spans="1:66" x14ac:dyDescent="0.2">
      <c r="A1897" s="57">
        <v>222</v>
      </c>
      <c r="B1897" s="162" t="s">
        <v>3655</v>
      </c>
      <c r="C1897" s="195">
        <v>44625.39261574074</v>
      </c>
      <c r="D1897" s="55">
        <v>260</v>
      </c>
      <c r="I1897" s="46" t="s">
        <v>839</v>
      </c>
      <c r="J1897" s="162">
        <v>1</v>
      </c>
      <c r="K1897" s="162">
        <v>1</v>
      </c>
      <c r="L1897" s="162"/>
      <c r="M1897" s="162"/>
      <c r="N1897" s="162"/>
      <c r="O1897" s="162">
        <v>1</v>
      </c>
      <c r="P1897" s="162"/>
      <c r="Q1897" s="162"/>
      <c r="R1897" s="162"/>
      <c r="S1897" s="162">
        <v>1</v>
      </c>
      <c r="T1897" s="162"/>
      <c r="U1897" s="162"/>
      <c r="V1897" s="162"/>
      <c r="W1897" s="162">
        <v>1</v>
      </c>
      <c r="X1897" s="162"/>
      <c r="Y1897" s="162"/>
      <c r="Z1897" s="162"/>
      <c r="AA1897" s="162">
        <v>3</v>
      </c>
      <c r="AB1897" s="162">
        <v>2</v>
      </c>
      <c r="AC1897" s="162">
        <v>2</v>
      </c>
      <c r="AD1897" s="162">
        <v>1</v>
      </c>
      <c r="AE1897" s="162">
        <v>1</v>
      </c>
      <c r="AF1897" s="162">
        <v>2</v>
      </c>
      <c r="AG1897" s="162">
        <v>4</v>
      </c>
      <c r="AH1897" s="162">
        <v>2</v>
      </c>
      <c r="AI1897" s="162">
        <v>1</v>
      </c>
      <c r="AJ1897" s="162">
        <v>1</v>
      </c>
      <c r="AK1897" s="162">
        <v>2</v>
      </c>
      <c r="AL1897" s="162">
        <v>2</v>
      </c>
      <c r="AM1897" s="162">
        <v>4</v>
      </c>
      <c r="AN1897" s="162"/>
      <c r="AO1897" s="162"/>
      <c r="AP1897" s="162"/>
      <c r="AQ1897" s="162"/>
      <c r="AR1897" s="162"/>
      <c r="AS1897" s="162">
        <v>4</v>
      </c>
      <c r="AT1897" s="162">
        <v>2</v>
      </c>
      <c r="AU1897" s="162">
        <v>3</v>
      </c>
      <c r="AV1897" s="162">
        <v>1</v>
      </c>
      <c r="AW1897" s="162">
        <v>1</v>
      </c>
      <c r="AX1897" s="162">
        <v>1</v>
      </c>
      <c r="AY1897" s="162">
        <v>1</v>
      </c>
      <c r="AZ1897" s="162">
        <v>1</v>
      </c>
      <c r="BA1897" s="162">
        <v>1</v>
      </c>
      <c r="BB1897" s="162">
        <v>1</v>
      </c>
      <c r="BC1897" s="162">
        <v>2</v>
      </c>
      <c r="BD1897" s="162">
        <v>1</v>
      </c>
      <c r="BE1897" s="162">
        <v>3</v>
      </c>
      <c r="BF1897" s="162">
        <v>2</v>
      </c>
      <c r="BG1897" s="162">
        <v>2</v>
      </c>
      <c r="BH1897" s="162">
        <v>1</v>
      </c>
      <c r="BI1897" s="162">
        <v>3</v>
      </c>
      <c r="BJ1897" s="162">
        <v>3</v>
      </c>
      <c r="BK1897" s="162">
        <v>2</v>
      </c>
      <c r="BL1897" s="162">
        <v>1</v>
      </c>
      <c r="BM1897" s="162">
        <v>1</v>
      </c>
      <c r="BN1897" s="162">
        <v>2</v>
      </c>
    </row>
    <row r="1898" spans="1:66" x14ac:dyDescent="0.2">
      <c r="A1898" s="57">
        <v>222</v>
      </c>
      <c r="B1898" s="162" t="s">
        <v>3655</v>
      </c>
      <c r="C1898" s="195">
        <v>44624.685057870367</v>
      </c>
      <c r="D1898" s="55">
        <v>260</v>
      </c>
      <c r="I1898" s="46" t="s">
        <v>839</v>
      </c>
      <c r="J1898" s="162">
        <v>1</v>
      </c>
      <c r="K1898" s="162">
        <v>1</v>
      </c>
      <c r="L1898" s="162"/>
      <c r="M1898" s="162"/>
      <c r="N1898" s="162"/>
      <c r="O1898" s="162">
        <v>1</v>
      </c>
      <c r="P1898" s="162"/>
      <c r="Q1898" s="162"/>
      <c r="R1898" s="162"/>
      <c r="S1898" s="162">
        <v>1</v>
      </c>
      <c r="T1898" s="162"/>
      <c r="U1898" s="162"/>
      <c r="V1898" s="162"/>
      <c r="W1898" s="162">
        <v>1</v>
      </c>
      <c r="X1898" s="162"/>
      <c r="Y1898" s="162"/>
      <c r="Z1898" s="162"/>
      <c r="AA1898" s="162">
        <v>1</v>
      </c>
      <c r="AB1898" s="162"/>
      <c r="AC1898" s="162"/>
      <c r="AD1898" s="162"/>
      <c r="AE1898" s="162"/>
      <c r="AF1898" s="162"/>
      <c r="AG1898" s="162">
        <v>2</v>
      </c>
      <c r="AH1898" s="162"/>
      <c r="AI1898" s="162"/>
      <c r="AJ1898" s="162"/>
      <c r="AK1898" s="162"/>
      <c r="AL1898" s="162"/>
      <c r="AM1898" s="162">
        <v>4</v>
      </c>
      <c r="AN1898" s="162"/>
      <c r="AO1898" s="162"/>
      <c r="AP1898" s="162"/>
      <c r="AQ1898" s="162"/>
      <c r="AR1898" s="162"/>
      <c r="AS1898" s="162">
        <v>4</v>
      </c>
      <c r="AT1898" s="162">
        <v>1</v>
      </c>
      <c r="AU1898" s="162">
        <v>2</v>
      </c>
      <c r="AV1898" s="162"/>
      <c r="AW1898" s="162"/>
      <c r="AX1898" s="162"/>
      <c r="AY1898" s="162"/>
      <c r="AZ1898" s="162">
        <v>1</v>
      </c>
      <c r="BA1898" s="162">
        <v>1</v>
      </c>
      <c r="BB1898" s="162">
        <v>1</v>
      </c>
      <c r="BC1898" s="162">
        <v>1</v>
      </c>
      <c r="BD1898" s="162">
        <v>1</v>
      </c>
      <c r="BE1898" s="162">
        <v>2</v>
      </c>
      <c r="BF1898" s="162"/>
      <c r="BG1898" s="162"/>
      <c r="BH1898" s="162"/>
      <c r="BI1898" s="162"/>
      <c r="BJ1898" s="162">
        <v>1</v>
      </c>
      <c r="BK1898" s="162"/>
      <c r="BL1898" s="162"/>
      <c r="BM1898" s="162"/>
      <c r="BN1898" s="162"/>
    </row>
    <row r="1899" spans="1:66" x14ac:dyDescent="0.2">
      <c r="A1899" s="57">
        <v>222</v>
      </c>
      <c r="B1899" s="162" t="s">
        <v>3655</v>
      </c>
      <c r="C1899" s="195">
        <v>44622.437604166669</v>
      </c>
      <c r="D1899" s="55">
        <v>260</v>
      </c>
      <c r="I1899" s="46" t="s">
        <v>839</v>
      </c>
      <c r="J1899" s="162">
        <v>1</v>
      </c>
      <c r="K1899" s="162">
        <v>1</v>
      </c>
      <c r="L1899" s="162"/>
      <c r="M1899" s="162"/>
      <c r="N1899" s="162"/>
      <c r="O1899" s="162">
        <v>1</v>
      </c>
      <c r="P1899" s="162"/>
      <c r="Q1899" s="162"/>
      <c r="R1899" s="162"/>
      <c r="S1899" s="162">
        <v>1</v>
      </c>
      <c r="T1899" s="162"/>
      <c r="U1899" s="162"/>
      <c r="V1899" s="162"/>
      <c r="W1899" s="162">
        <v>1</v>
      </c>
      <c r="X1899" s="162"/>
      <c r="Y1899" s="162"/>
      <c r="Z1899" s="162"/>
      <c r="AA1899" s="162">
        <v>1</v>
      </c>
      <c r="AB1899" s="162"/>
      <c r="AC1899" s="162"/>
      <c r="AD1899" s="162"/>
      <c r="AE1899" s="162"/>
      <c r="AF1899" s="162"/>
      <c r="AG1899" s="162">
        <v>1</v>
      </c>
      <c r="AH1899" s="162"/>
      <c r="AI1899" s="162"/>
      <c r="AJ1899" s="162"/>
      <c r="AK1899" s="162"/>
      <c r="AL1899" s="162"/>
      <c r="AM1899" s="162">
        <v>4</v>
      </c>
      <c r="AN1899" s="162"/>
      <c r="AO1899" s="162"/>
      <c r="AP1899" s="162"/>
      <c r="AQ1899" s="162"/>
      <c r="AR1899" s="162"/>
      <c r="AS1899" s="162">
        <v>4</v>
      </c>
      <c r="AT1899" s="162">
        <v>1</v>
      </c>
      <c r="AU1899" s="162">
        <v>1</v>
      </c>
      <c r="AV1899" s="162"/>
      <c r="AW1899" s="162"/>
      <c r="AX1899" s="162"/>
      <c r="AY1899" s="162"/>
      <c r="AZ1899" s="162">
        <v>1</v>
      </c>
      <c r="BA1899" s="162">
        <v>1</v>
      </c>
      <c r="BB1899" s="162">
        <v>1</v>
      </c>
      <c r="BC1899" s="162">
        <v>1</v>
      </c>
      <c r="BD1899" s="162">
        <v>1</v>
      </c>
      <c r="BE1899" s="162">
        <v>1</v>
      </c>
      <c r="BF1899" s="162"/>
      <c r="BG1899" s="162"/>
      <c r="BH1899" s="162"/>
      <c r="BI1899" s="162"/>
      <c r="BJ1899" s="162">
        <v>1</v>
      </c>
      <c r="BK1899" s="162"/>
      <c r="BL1899" s="162"/>
      <c r="BM1899" s="162"/>
      <c r="BN1899" s="162"/>
    </row>
    <row r="1900" spans="1:66" x14ac:dyDescent="0.2">
      <c r="A1900" s="57">
        <v>222</v>
      </c>
      <c r="B1900" s="162" t="s">
        <v>3655</v>
      </c>
      <c r="C1900" s="195">
        <v>44622.428819444445</v>
      </c>
      <c r="D1900" s="55">
        <v>260</v>
      </c>
      <c r="I1900" s="46" t="s">
        <v>839</v>
      </c>
      <c r="J1900" s="162">
        <v>1</v>
      </c>
      <c r="K1900" s="162">
        <v>1</v>
      </c>
      <c r="L1900" s="162"/>
      <c r="M1900" s="162"/>
      <c r="N1900" s="162"/>
      <c r="O1900" s="162">
        <v>1</v>
      </c>
      <c r="P1900" s="162"/>
      <c r="Q1900" s="162"/>
      <c r="R1900" s="162"/>
      <c r="S1900" s="162">
        <v>1</v>
      </c>
      <c r="T1900" s="162"/>
      <c r="U1900" s="162"/>
      <c r="V1900" s="162"/>
      <c r="W1900" s="162">
        <v>1</v>
      </c>
      <c r="X1900" s="162"/>
      <c r="Y1900" s="162"/>
      <c r="Z1900" s="162"/>
      <c r="AA1900" s="162">
        <v>1</v>
      </c>
      <c r="AB1900" s="162"/>
      <c r="AC1900" s="162"/>
      <c r="AD1900" s="162"/>
      <c r="AE1900" s="162"/>
      <c r="AF1900" s="162"/>
      <c r="AG1900" s="162">
        <v>1</v>
      </c>
      <c r="AH1900" s="162"/>
      <c r="AI1900" s="162"/>
      <c r="AJ1900" s="162"/>
      <c r="AK1900" s="162"/>
      <c r="AL1900" s="162"/>
      <c r="AM1900" s="162">
        <v>4</v>
      </c>
      <c r="AN1900" s="162"/>
      <c r="AO1900" s="162"/>
      <c r="AP1900" s="162"/>
      <c r="AQ1900" s="162"/>
      <c r="AR1900" s="162"/>
      <c r="AS1900" s="162">
        <v>4</v>
      </c>
      <c r="AT1900" s="162">
        <v>1</v>
      </c>
      <c r="AU1900" s="162">
        <v>1</v>
      </c>
      <c r="AV1900" s="162"/>
      <c r="AW1900" s="162"/>
      <c r="AX1900" s="162"/>
      <c r="AY1900" s="162"/>
      <c r="AZ1900" s="162">
        <v>1</v>
      </c>
      <c r="BA1900" s="162">
        <v>1</v>
      </c>
      <c r="BB1900" s="162">
        <v>1</v>
      </c>
      <c r="BC1900" s="162">
        <v>1</v>
      </c>
      <c r="BD1900" s="162">
        <v>1</v>
      </c>
      <c r="BE1900" s="162">
        <v>1</v>
      </c>
      <c r="BF1900" s="162"/>
      <c r="BG1900" s="162"/>
      <c r="BH1900" s="162"/>
      <c r="BI1900" s="162"/>
      <c r="BJ1900" s="162">
        <v>1</v>
      </c>
      <c r="BK1900" s="162"/>
      <c r="BL1900" s="162"/>
      <c r="BM1900" s="162"/>
      <c r="BN1900" s="162"/>
    </row>
    <row r="1901" spans="1:66" x14ac:dyDescent="0.2">
      <c r="A1901" s="57">
        <v>222</v>
      </c>
      <c r="B1901" s="162" t="s">
        <v>3655</v>
      </c>
      <c r="C1901" s="195">
        <v>44622.013715277775</v>
      </c>
      <c r="D1901" s="55">
        <v>260</v>
      </c>
      <c r="I1901" s="46" t="s">
        <v>839</v>
      </c>
      <c r="J1901" s="162">
        <v>1</v>
      </c>
      <c r="K1901" s="162">
        <v>1</v>
      </c>
      <c r="L1901" s="162"/>
      <c r="M1901" s="162"/>
      <c r="N1901" s="162"/>
      <c r="O1901" s="162">
        <v>1</v>
      </c>
      <c r="P1901" s="162"/>
      <c r="Q1901" s="162"/>
      <c r="R1901" s="162"/>
      <c r="S1901" s="162">
        <v>1</v>
      </c>
      <c r="T1901" s="162"/>
      <c r="U1901" s="162"/>
      <c r="V1901" s="162"/>
      <c r="W1901" s="162">
        <v>1</v>
      </c>
      <c r="X1901" s="162"/>
      <c r="Y1901" s="162"/>
      <c r="Z1901" s="162"/>
      <c r="AA1901" s="162">
        <v>1</v>
      </c>
      <c r="AB1901" s="162"/>
      <c r="AC1901" s="162"/>
      <c r="AD1901" s="162"/>
      <c r="AE1901" s="162"/>
      <c r="AF1901" s="162"/>
      <c r="AG1901" s="162">
        <v>1</v>
      </c>
      <c r="AH1901" s="162"/>
      <c r="AI1901" s="162"/>
      <c r="AJ1901" s="162"/>
      <c r="AK1901" s="162"/>
      <c r="AL1901" s="162"/>
      <c r="AM1901" s="162">
        <v>2</v>
      </c>
      <c r="AN1901" s="162">
        <v>1</v>
      </c>
      <c r="AO1901" s="162">
        <v>1</v>
      </c>
      <c r="AP1901" s="162">
        <v>1</v>
      </c>
      <c r="AQ1901" s="162">
        <v>3</v>
      </c>
      <c r="AR1901" s="162">
        <v>3</v>
      </c>
      <c r="AS1901" s="162">
        <v>4</v>
      </c>
      <c r="AT1901" s="162">
        <v>1</v>
      </c>
      <c r="AU1901" s="162">
        <v>1</v>
      </c>
      <c r="AV1901" s="162"/>
      <c r="AW1901" s="162"/>
      <c r="AX1901" s="162"/>
      <c r="AY1901" s="162"/>
      <c r="AZ1901" s="162">
        <v>1</v>
      </c>
      <c r="BA1901" s="162">
        <v>1</v>
      </c>
      <c r="BB1901" s="162">
        <v>1</v>
      </c>
      <c r="BC1901" s="162">
        <v>1</v>
      </c>
      <c r="BD1901" s="162">
        <v>1</v>
      </c>
      <c r="BE1901" s="162">
        <v>1</v>
      </c>
      <c r="BF1901" s="162"/>
      <c r="BG1901" s="162"/>
      <c r="BH1901" s="162"/>
      <c r="BI1901" s="162"/>
      <c r="BJ1901" s="162">
        <v>1</v>
      </c>
      <c r="BK1901" s="162"/>
      <c r="BL1901" s="162"/>
      <c r="BM1901" s="162"/>
      <c r="BN1901" s="162"/>
    </row>
    <row r="1902" spans="1:66" x14ac:dyDescent="0.2">
      <c r="A1902" s="57">
        <v>222</v>
      </c>
      <c r="B1902" s="162" t="s">
        <v>3655</v>
      </c>
      <c r="C1902" s="195">
        <v>44621.850173611114</v>
      </c>
      <c r="D1902" s="55">
        <v>260</v>
      </c>
      <c r="I1902" s="46" t="s">
        <v>839</v>
      </c>
      <c r="J1902" s="162">
        <v>1</v>
      </c>
      <c r="K1902" s="162">
        <v>1</v>
      </c>
      <c r="L1902" s="162"/>
      <c r="M1902" s="162"/>
      <c r="N1902" s="162"/>
      <c r="O1902" s="162">
        <v>1</v>
      </c>
      <c r="P1902" s="162"/>
      <c r="Q1902" s="162"/>
      <c r="R1902" s="162"/>
      <c r="S1902" s="162">
        <v>1</v>
      </c>
      <c r="T1902" s="162"/>
      <c r="U1902" s="162"/>
      <c r="V1902" s="162"/>
      <c r="W1902" s="162">
        <v>1</v>
      </c>
      <c r="X1902" s="162"/>
      <c r="Y1902" s="162"/>
      <c r="Z1902" s="162"/>
      <c r="AA1902" s="162">
        <v>1</v>
      </c>
      <c r="AB1902" s="162"/>
      <c r="AC1902" s="162"/>
      <c r="AD1902" s="162"/>
      <c r="AE1902" s="162"/>
      <c r="AF1902" s="162"/>
      <c r="AG1902" s="162">
        <v>2</v>
      </c>
      <c r="AH1902" s="162"/>
      <c r="AI1902" s="162"/>
      <c r="AJ1902" s="162"/>
      <c r="AK1902" s="162"/>
      <c r="AL1902" s="162"/>
      <c r="AM1902" s="162">
        <v>4</v>
      </c>
      <c r="AN1902" s="162"/>
      <c r="AO1902" s="162"/>
      <c r="AP1902" s="162"/>
      <c r="AQ1902" s="162"/>
      <c r="AR1902" s="162"/>
      <c r="AS1902" s="162">
        <v>3</v>
      </c>
      <c r="AT1902" s="162">
        <v>1</v>
      </c>
      <c r="AU1902" s="162">
        <v>2</v>
      </c>
      <c r="AV1902" s="162"/>
      <c r="AW1902" s="162"/>
      <c r="AX1902" s="162"/>
      <c r="AY1902" s="162"/>
      <c r="AZ1902" s="162">
        <v>1</v>
      </c>
      <c r="BA1902" s="162">
        <v>1</v>
      </c>
      <c r="BB1902" s="162">
        <v>1</v>
      </c>
      <c r="BC1902" s="162">
        <v>1</v>
      </c>
      <c r="BD1902" s="162">
        <v>3</v>
      </c>
      <c r="BE1902" s="162">
        <v>1</v>
      </c>
      <c r="BF1902" s="162"/>
      <c r="BG1902" s="162"/>
      <c r="BH1902" s="162"/>
      <c r="BI1902" s="162"/>
      <c r="BJ1902" s="162">
        <v>1</v>
      </c>
      <c r="BK1902" s="162"/>
      <c r="BL1902" s="162"/>
      <c r="BM1902" s="162"/>
      <c r="BN1902" s="162"/>
    </row>
    <row r="1903" spans="1:66" x14ac:dyDescent="0.2">
      <c r="A1903" s="57">
        <v>222</v>
      </c>
      <c r="B1903" s="162" t="s">
        <v>3655</v>
      </c>
      <c r="C1903" s="195">
        <v>44621.806446759256</v>
      </c>
      <c r="D1903" s="55">
        <v>260</v>
      </c>
      <c r="I1903" s="46" t="s">
        <v>839</v>
      </c>
      <c r="J1903" s="162">
        <v>1</v>
      </c>
      <c r="K1903" s="162">
        <v>1</v>
      </c>
      <c r="L1903" s="162"/>
      <c r="M1903" s="162"/>
      <c r="N1903" s="162"/>
      <c r="O1903" s="162">
        <v>1</v>
      </c>
      <c r="P1903" s="162"/>
      <c r="Q1903" s="162"/>
      <c r="R1903" s="162"/>
      <c r="S1903" s="162">
        <v>1</v>
      </c>
      <c r="T1903" s="162"/>
      <c r="U1903" s="162"/>
      <c r="V1903" s="162"/>
      <c r="W1903" s="162">
        <v>1</v>
      </c>
      <c r="X1903" s="162"/>
      <c r="Y1903" s="162"/>
      <c r="Z1903" s="162"/>
      <c r="AA1903" s="162">
        <v>1</v>
      </c>
      <c r="AB1903" s="162"/>
      <c r="AC1903" s="162"/>
      <c r="AD1903" s="162"/>
      <c r="AE1903" s="162"/>
      <c r="AF1903" s="162"/>
      <c r="AG1903" s="162">
        <v>1</v>
      </c>
      <c r="AH1903" s="162"/>
      <c r="AI1903" s="162"/>
      <c r="AJ1903" s="162"/>
      <c r="AK1903" s="162"/>
      <c r="AL1903" s="162"/>
      <c r="AM1903" s="162">
        <v>4</v>
      </c>
      <c r="AN1903" s="162"/>
      <c r="AO1903" s="162"/>
      <c r="AP1903" s="162"/>
      <c r="AQ1903" s="162"/>
      <c r="AR1903" s="162"/>
      <c r="AS1903" s="162">
        <v>4</v>
      </c>
      <c r="AT1903" s="162">
        <v>1</v>
      </c>
      <c r="AU1903" s="162">
        <v>1</v>
      </c>
      <c r="AV1903" s="162"/>
      <c r="AW1903" s="162"/>
      <c r="AX1903" s="162"/>
      <c r="AY1903" s="162"/>
      <c r="AZ1903" s="162">
        <v>1</v>
      </c>
      <c r="BA1903" s="162">
        <v>1</v>
      </c>
      <c r="BB1903" s="162">
        <v>1</v>
      </c>
      <c r="BC1903" s="162">
        <v>1</v>
      </c>
      <c r="BD1903" s="162">
        <v>1</v>
      </c>
      <c r="BE1903" s="162">
        <v>2</v>
      </c>
      <c r="BF1903" s="162"/>
      <c r="BG1903" s="162"/>
      <c r="BH1903" s="162"/>
      <c r="BI1903" s="162"/>
      <c r="BJ1903" s="162">
        <v>1</v>
      </c>
      <c r="BK1903" s="162"/>
      <c r="BL1903" s="162"/>
      <c r="BM1903" s="162"/>
      <c r="BN1903" s="162"/>
    </row>
    <row r="1904" spans="1:66" x14ac:dyDescent="0.2">
      <c r="A1904" s="57">
        <v>222</v>
      </c>
      <c r="B1904" s="162" t="s">
        <v>3655</v>
      </c>
      <c r="C1904" s="195">
        <v>44621.802928240744</v>
      </c>
      <c r="D1904" s="55">
        <v>260</v>
      </c>
      <c r="I1904" s="46" t="s">
        <v>839</v>
      </c>
      <c r="J1904" s="162">
        <v>1</v>
      </c>
      <c r="K1904" s="162">
        <v>1</v>
      </c>
      <c r="L1904" s="162"/>
      <c r="M1904" s="162"/>
      <c r="N1904" s="162"/>
      <c r="O1904" s="162">
        <v>1</v>
      </c>
      <c r="P1904" s="162"/>
      <c r="Q1904" s="162"/>
      <c r="R1904" s="162"/>
      <c r="S1904" s="162">
        <v>1</v>
      </c>
      <c r="T1904" s="162"/>
      <c r="U1904" s="162"/>
      <c r="V1904" s="162"/>
      <c r="W1904" s="162">
        <v>1</v>
      </c>
      <c r="X1904" s="162"/>
      <c r="Y1904" s="162"/>
      <c r="Z1904" s="162"/>
      <c r="AA1904" s="162">
        <v>1</v>
      </c>
      <c r="AB1904" s="162"/>
      <c r="AC1904" s="162"/>
      <c r="AD1904" s="162"/>
      <c r="AE1904" s="162"/>
      <c r="AF1904" s="162"/>
      <c r="AG1904" s="162">
        <v>1</v>
      </c>
      <c r="AH1904" s="162"/>
      <c r="AI1904" s="162"/>
      <c r="AJ1904" s="162"/>
      <c r="AK1904" s="162"/>
      <c r="AL1904" s="162"/>
      <c r="AM1904" s="162">
        <v>4</v>
      </c>
      <c r="AN1904" s="162"/>
      <c r="AO1904" s="162"/>
      <c r="AP1904" s="162"/>
      <c r="AQ1904" s="162"/>
      <c r="AR1904" s="162"/>
      <c r="AS1904" s="162">
        <v>4</v>
      </c>
      <c r="AT1904" s="162">
        <v>1</v>
      </c>
      <c r="AU1904" s="162">
        <v>1</v>
      </c>
      <c r="AV1904" s="162"/>
      <c r="AW1904" s="162"/>
      <c r="AX1904" s="162"/>
      <c r="AY1904" s="162"/>
      <c r="AZ1904" s="162">
        <v>1</v>
      </c>
      <c r="BA1904" s="162">
        <v>1</v>
      </c>
      <c r="BB1904" s="162">
        <v>1</v>
      </c>
      <c r="BC1904" s="162">
        <v>1</v>
      </c>
      <c r="BD1904" s="162">
        <v>1</v>
      </c>
      <c r="BE1904" s="162">
        <v>1</v>
      </c>
      <c r="BF1904" s="162"/>
      <c r="BG1904" s="162"/>
      <c r="BH1904" s="162"/>
      <c r="BI1904" s="162"/>
      <c r="BJ1904" s="162">
        <v>1</v>
      </c>
      <c r="BK1904" s="162"/>
      <c r="BL1904" s="162"/>
      <c r="BM1904" s="162"/>
      <c r="BN1904" s="162"/>
    </row>
    <row r="1905" spans="1:66" x14ac:dyDescent="0.2">
      <c r="A1905" s="57">
        <v>222</v>
      </c>
      <c r="B1905" s="162" t="s">
        <v>3655</v>
      </c>
      <c r="C1905" s="195">
        <v>44621.750648148147</v>
      </c>
      <c r="D1905" s="55">
        <v>260</v>
      </c>
      <c r="I1905" s="46" t="s">
        <v>839</v>
      </c>
      <c r="J1905" s="162">
        <v>1</v>
      </c>
      <c r="K1905" s="162">
        <v>1</v>
      </c>
      <c r="L1905" s="162"/>
      <c r="M1905" s="162"/>
      <c r="N1905" s="162"/>
      <c r="O1905" s="162">
        <v>1</v>
      </c>
      <c r="P1905" s="162"/>
      <c r="Q1905" s="162"/>
      <c r="R1905" s="162"/>
      <c r="S1905" s="162">
        <v>1</v>
      </c>
      <c r="T1905" s="162"/>
      <c r="U1905" s="162"/>
      <c r="V1905" s="162"/>
      <c r="W1905" s="162">
        <v>1</v>
      </c>
      <c r="X1905" s="162"/>
      <c r="Y1905" s="162"/>
      <c r="Z1905" s="162"/>
      <c r="AA1905" s="162">
        <v>1</v>
      </c>
      <c r="AB1905" s="162"/>
      <c r="AC1905" s="162"/>
      <c r="AD1905" s="162"/>
      <c r="AE1905" s="162"/>
      <c r="AF1905" s="162"/>
      <c r="AG1905" s="162">
        <v>1</v>
      </c>
      <c r="AH1905" s="162"/>
      <c r="AI1905" s="162"/>
      <c r="AJ1905" s="162"/>
      <c r="AK1905" s="162"/>
      <c r="AL1905" s="162"/>
      <c r="AM1905" s="162">
        <v>2</v>
      </c>
      <c r="AN1905" s="162">
        <v>2</v>
      </c>
      <c r="AO1905" s="162">
        <v>2</v>
      </c>
      <c r="AP1905" s="162">
        <v>2</v>
      </c>
      <c r="AQ1905" s="162">
        <v>2</v>
      </c>
      <c r="AR1905" s="162">
        <v>2</v>
      </c>
      <c r="AS1905" s="162">
        <v>4</v>
      </c>
      <c r="AT1905" s="162">
        <v>1</v>
      </c>
      <c r="AU1905" s="162">
        <v>1</v>
      </c>
      <c r="AV1905" s="162"/>
      <c r="AW1905" s="162"/>
      <c r="AX1905" s="162"/>
      <c r="AY1905" s="162"/>
      <c r="AZ1905" s="162">
        <v>1</v>
      </c>
      <c r="BA1905" s="162">
        <v>1</v>
      </c>
      <c r="BB1905" s="162">
        <v>1</v>
      </c>
      <c r="BC1905" s="162">
        <v>1</v>
      </c>
      <c r="BD1905" s="162">
        <v>1</v>
      </c>
      <c r="BE1905" s="162">
        <v>1</v>
      </c>
      <c r="BF1905" s="162"/>
      <c r="BG1905" s="162"/>
      <c r="BH1905" s="162"/>
      <c r="BI1905" s="162"/>
      <c r="BJ1905" s="162">
        <v>1</v>
      </c>
      <c r="BK1905" s="162"/>
      <c r="BL1905" s="162"/>
      <c r="BM1905" s="162"/>
      <c r="BN1905" s="162"/>
    </row>
    <row r="1906" spans="1:66" x14ac:dyDescent="0.2">
      <c r="A1906" s="57">
        <v>222</v>
      </c>
      <c r="B1906" s="162" t="s">
        <v>3655</v>
      </c>
      <c r="C1906" s="195">
        <v>44621.474236111113</v>
      </c>
      <c r="D1906" s="55">
        <v>260</v>
      </c>
      <c r="I1906" s="46" t="s">
        <v>839</v>
      </c>
      <c r="J1906" s="162">
        <v>1</v>
      </c>
      <c r="K1906" s="162">
        <v>1</v>
      </c>
      <c r="L1906" s="162"/>
      <c r="M1906" s="162"/>
      <c r="N1906" s="162"/>
      <c r="O1906" s="162">
        <v>1</v>
      </c>
      <c r="P1906" s="162"/>
      <c r="Q1906" s="162"/>
      <c r="R1906" s="162"/>
      <c r="S1906" s="162">
        <v>1</v>
      </c>
      <c r="T1906" s="162"/>
      <c r="U1906" s="162"/>
      <c r="V1906" s="162"/>
      <c r="W1906" s="162">
        <v>1</v>
      </c>
      <c r="X1906" s="162"/>
      <c r="Y1906" s="162"/>
      <c r="Z1906" s="162"/>
      <c r="AA1906" s="162">
        <v>1</v>
      </c>
      <c r="AB1906" s="162"/>
      <c r="AC1906" s="162"/>
      <c r="AD1906" s="162"/>
      <c r="AE1906" s="162"/>
      <c r="AF1906" s="162"/>
      <c r="AG1906" s="162">
        <v>1</v>
      </c>
      <c r="AH1906" s="162"/>
      <c r="AI1906" s="162"/>
      <c r="AJ1906" s="162"/>
      <c r="AK1906" s="162"/>
      <c r="AL1906" s="162"/>
      <c r="AM1906" s="162">
        <v>4</v>
      </c>
      <c r="AN1906" s="162"/>
      <c r="AO1906" s="162"/>
      <c r="AP1906" s="162"/>
      <c r="AQ1906" s="162"/>
      <c r="AR1906" s="162"/>
      <c r="AS1906" s="162">
        <v>4</v>
      </c>
      <c r="AT1906" s="162">
        <v>1</v>
      </c>
      <c r="AU1906" s="162">
        <v>1</v>
      </c>
      <c r="AV1906" s="162"/>
      <c r="AW1906" s="162"/>
      <c r="AX1906" s="162"/>
      <c r="AY1906" s="162"/>
      <c r="AZ1906" s="162">
        <v>1</v>
      </c>
      <c r="BA1906" s="162">
        <v>1</v>
      </c>
      <c r="BB1906" s="162">
        <v>1</v>
      </c>
      <c r="BC1906" s="162">
        <v>1</v>
      </c>
      <c r="BD1906" s="162">
        <v>1</v>
      </c>
      <c r="BE1906" s="162">
        <v>1</v>
      </c>
      <c r="BF1906" s="162"/>
      <c r="BG1906" s="162"/>
      <c r="BH1906" s="162"/>
      <c r="BI1906" s="162"/>
      <c r="BJ1906" s="162">
        <v>1</v>
      </c>
      <c r="BK1906" s="162"/>
      <c r="BL1906" s="162"/>
      <c r="BM1906" s="162"/>
      <c r="BN1906" s="162"/>
    </row>
    <row r="1907" spans="1:66" x14ac:dyDescent="0.2">
      <c r="A1907" s="57">
        <v>222</v>
      </c>
      <c r="B1907" s="162" t="s">
        <v>3655</v>
      </c>
      <c r="C1907" s="195">
        <v>44621.418564814812</v>
      </c>
      <c r="D1907" s="55">
        <v>260</v>
      </c>
      <c r="I1907" s="46" t="s">
        <v>839</v>
      </c>
      <c r="J1907" s="162">
        <v>2</v>
      </c>
      <c r="K1907" s="162">
        <v>1</v>
      </c>
      <c r="L1907" s="162"/>
      <c r="M1907" s="162"/>
      <c r="N1907" s="162"/>
      <c r="O1907" s="162">
        <v>2</v>
      </c>
      <c r="P1907" s="162"/>
      <c r="Q1907" s="162"/>
      <c r="R1907" s="162"/>
      <c r="S1907" s="162">
        <v>1</v>
      </c>
      <c r="T1907" s="162"/>
      <c r="U1907" s="162"/>
      <c r="V1907" s="162"/>
      <c r="W1907" s="162">
        <v>1</v>
      </c>
      <c r="X1907" s="162"/>
      <c r="Y1907" s="162"/>
      <c r="Z1907" s="162"/>
      <c r="AA1907" s="162">
        <v>2</v>
      </c>
      <c r="AB1907" s="162"/>
      <c r="AC1907" s="162"/>
      <c r="AD1907" s="162"/>
      <c r="AE1907" s="162"/>
      <c r="AF1907" s="162"/>
      <c r="AG1907" s="162">
        <v>1</v>
      </c>
      <c r="AH1907" s="162"/>
      <c r="AI1907" s="162"/>
      <c r="AJ1907" s="162"/>
      <c r="AK1907" s="162"/>
      <c r="AL1907" s="162"/>
      <c r="AM1907" s="162">
        <v>4</v>
      </c>
      <c r="AN1907" s="162"/>
      <c r="AO1907" s="162"/>
      <c r="AP1907" s="162"/>
      <c r="AQ1907" s="162"/>
      <c r="AR1907" s="162"/>
      <c r="AS1907" s="162">
        <v>4</v>
      </c>
      <c r="AT1907" s="162">
        <v>2</v>
      </c>
      <c r="AU1907" s="162">
        <v>2</v>
      </c>
      <c r="AV1907" s="162"/>
      <c r="AW1907" s="162"/>
      <c r="AX1907" s="162"/>
      <c r="AY1907" s="162"/>
      <c r="AZ1907" s="162">
        <v>1</v>
      </c>
      <c r="BA1907" s="162">
        <v>1</v>
      </c>
      <c r="BB1907" s="162">
        <v>1</v>
      </c>
      <c r="BC1907" s="162">
        <v>1</v>
      </c>
      <c r="BD1907" s="162">
        <v>1</v>
      </c>
      <c r="BE1907" s="162">
        <v>2</v>
      </c>
      <c r="BF1907" s="162"/>
      <c r="BG1907" s="162"/>
      <c r="BH1907" s="162"/>
      <c r="BI1907" s="162"/>
      <c r="BJ1907" s="162">
        <v>1</v>
      </c>
      <c r="BK1907" s="162"/>
      <c r="BL1907" s="162"/>
      <c r="BM1907" s="162"/>
      <c r="BN1907" s="162"/>
    </row>
    <row r="1908" spans="1:66" x14ac:dyDescent="0.2">
      <c r="A1908" s="57">
        <v>222</v>
      </c>
      <c r="B1908" s="162" t="s">
        <v>3655</v>
      </c>
      <c r="C1908" s="195">
        <v>44621.395740740743</v>
      </c>
      <c r="D1908" s="55">
        <v>260</v>
      </c>
      <c r="I1908" s="46" t="s">
        <v>839</v>
      </c>
      <c r="J1908" s="162">
        <v>1</v>
      </c>
      <c r="K1908" s="162">
        <v>1</v>
      </c>
      <c r="L1908" s="162"/>
      <c r="M1908" s="162"/>
      <c r="N1908" s="162"/>
      <c r="O1908" s="162">
        <v>1</v>
      </c>
      <c r="P1908" s="162"/>
      <c r="Q1908" s="162"/>
      <c r="R1908" s="162"/>
      <c r="S1908" s="162">
        <v>1</v>
      </c>
      <c r="T1908" s="162"/>
      <c r="U1908" s="162"/>
      <c r="V1908" s="162"/>
      <c r="W1908" s="162">
        <v>1</v>
      </c>
      <c r="X1908" s="162"/>
      <c r="Y1908" s="162"/>
      <c r="Z1908" s="162"/>
      <c r="AA1908" s="162">
        <v>1</v>
      </c>
      <c r="AB1908" s="162"/>
      <c r="AC1908" s="162"/>
      <c r="AD1908" s="162"/>
      <c r="AE1908" s="162"/>
      <c r="AF1908" s="162"/>
      <c r="AG1908" s="162">
        <v>1</v>
      </c>
      <c r="AH1908" s="162"/>
      <c r="AI1908" s="162"/>
      <c r="AJ1908" s="162"/>
      <c r="AK1908" s="162"/>
      <c r="AL1908" s="162"/>
      <c r="AM1908" s="162">
        <v>4</v>
      </c>
      <c r="AN1908" s="162"/>
      <c r="AO1908" s="162"/>
      <c r="AP1908" s="162"/>
      <c r="AQ1908" s="162"/>
      <c r="AR1908" s="162"/>
      <c r="AS1908" s="162">
        <v>4</v>
      </c>
      <c r="AT1908" s="162">
        <v>1</v>
      </c>
      <c r="AU1908" s="162">
        <v>1</v>
      </c>
      <c r="AV1908" s="162"/>
      <c r="AW1908" s="162"/>
      <c r="AX1908" s="162"/>
      <c r="AY1908" s="162"/>
      <c r="AZ1908" s="162">
        <v>1</v>
      </c>
      <c r="BA1908" s="162">
        <v>1</v>
      </c>
      <c r="BB1908" s="162">
        <v>1</v>
      </c>
      <c r="BC1908" s="162">
        <v>1</v>
      </c>
      <c r="BD1908" s="162">
        <v>1</v>
      </c>
      <c r="BE1908" s="162">
        <v>2</v>
      </c>
      <c r="BF1908" s="162"/>
      <c r="BG1908" s="162"/>
      <c r="BH1908" s="162"/>
      <c r="BI1908" s="162"/>
      <c r="BJ1908" s="162">
        <v>2</v>
      </c>
      <c r="BK1908" s="162"/>
      <c r="BL1908" s="162"/>
      <c r="BM1908" s="162"/>
      <c r="BN1908" s="162"/>
    </row>
    <row r="1909" spans="1:66" x14ac:dyDescent="0.2">
      <c r="A1909" s="57">
        <v>222</v>
      </c>
      <c r="B1909" s="162" t="s">
        <v>3655</v>
      </c>
      <c r="C1909" s="195">
        <v>44621.388564814813</v>
      </c>
      <c r="D1909" s="55">
        <v>260</v>
      </c>
      <c r="I1909" s="46" t="s">
        <v>839</v>
      </c>
      <c r="J1909" s="162">
        <v>1</v>
      </c>
      <c r="K1909" s="162">
        <v>1</v>
      </c>
      <c r="L1909" s="162"/>
      <c r="M1909" s="162"/>
      <c r="N1909" s="162"/>
      <c r="O1909" s="162">
        <v>1</v>
      </c>
      <c r="P1909" s="162"/>
      <c r="Q1909" s="162"/>
      <c r="R1909" s="162"/>
      <c r="S1909" s="162">
        <v>1</v>
      </c>
      <c r="T1909" s="162"/>
      <c r="U1909" s="162"/>
      <c r="V1909" s="162"/>
      <c r="W1909" s="162">
        <v>1</v>
      </c>
      <c r="X1909" s="162"/>
      <c r="Y1909" s="162"/>
      <c r="Z1909" s="162"/>
      <c r="AA1909" s="162">
        <v>1</v>
      </c>
      <c r="AB1909" s="162"/>
      <c r="AC1909" s="162"/>
      <c r="AD1909" s="162"/>
      <c r="AE1909" s="162"/>
      <c r="AF1909" s="162"/>
      <c r="AG1909" s="162">
        <v>1</v>
      </c>
      <c r="AH1909" s="162"/>
      <c r="AI1909" s="162"/>
      <c r="AJ1909" s="162"/>
      <c r="AK1909" s="162"/>
      <c r="AL1909" s="162"/>
      <c r="AM1909" s="162">
        <v>4</v>
      </c>
      <c r="AN1909" s="162"/>
      <c r="AO1909" s="162"/>
      <c r="AP1909" s="162"/>
      <c r="AQ1909" s="162"/>
      <c r="AR1909" s="162"/>
      <c r="AS1909" s="162">
        <v>4</v>
      </c>
      <c r="AT1909" s="162">
        <v>1</v>
      </c>
      <c r="AU1909" s="162">
        <v>1</v>
      </c>
      <c r="AV1909" s="162"/>
      <c r="AW1909" s="162"/>
      <c r="AX1909" s="162"/>
      <c r="AY1909" s="162"/>
      <c r="AZ1909" s="162">
        <v>1</v>
      </c>
      <c r="BA1909" s="162">
        <v>3</v>
      </c>
      <c r="BB1909" s="162">
        <v>1</v>
      </c>
      <c r="BC1909" s="162">
        <v>1</v>
      </c>
      <c r="BD1909" s="162">
        <v>1</v>
      </c>
      <c r="BE1909" s="162">
        <v>1</v>
      </c>
      <c r="BF1909" s="162"/>
      <c r="BG1909" s="162"/>
      <c r="BH1909" s="162"/>
      <c r="BI1909" s="162"/>
      <c r="BJ1909" s="162">
        <v>1</v>
      </c>
      <c r="BK1909" s="162"/>
      <c r="BL1909" s="162"/>
      <c r="BM1909" s="162"/>
      <c r="BN1909" s="162"/>
    </row>
    <row r="1910" spans="1:66" x14ac:dyDescent="0.2">
      <c r="A1910" s="57">
        <v>222</v>
      </c>
      <c r="B1910" s="162" t="s">
        <v>3655</v>
      </c>
      <c r="C1910" s="195">
        <v>44621.375243055554</v>
      </c>
      <c r="D1910" s="55">
        <v>260</v>
      </c>
      <c r="I1910" s="46" t="s">
        <v>839</v>
      </c>
      <c r="J1910" s="162">
        <v>1</v>
      </c>
      <c r="K1910" s="162">
        <v>1</v>
      </c>
      <c r="L1910" s="162"/>
      <c r="M1910" s="162"/>
      <c r="N1910" s="162"/>
      <c r="O1910" s="162">
        <v>1</v>
      </c>
      <c r="P1910" s="162"/>
      <c r="Q1910" s="162"/>
      <c r="R1910" s="162"/>
      <c r="S1910" s="162">
        <v>1</v>
      </c>
      <c r="T1910" s="162"/>
      <c r="U1910" s="162"/>
      <c r="V1910" s="162"/>
      <c r="W1910" s="162">
        <v>1</v>
      </c>
      <c r="X1910" s="162"/>
      <c r="Y1910" s="162"/>
      <c r="Z1910" s="162"/>
      <c r="AA1910" s="162">
        <v>1</v>
      </c>
      <c r="AB1910" s="162"/>
      <c r="AC1910" s="162"/>
      <c r="AD1910" s="162"/>
      <c r="AE1910" s="162"/>
      <c r="AF1910" s="162"/>
      <c r="AG1910" s="162">
        <v>1</v>
      </c>
      <c r="AH1910" s="162"/>
      <c r="AI1910" s="162"/>
      <c r="AJ1910" s="162"/>
      <c r="AK1910" s="162"/>
      <c r="AL1910" s="162"/>
      <c r="AM1910" s="162">
        <v>4</v>
      </c>
      <c r="AN1910" s="162"/>
      <c r="AO1910" s="162"/>
      <c r="AP1910" s="162"/>
      <c r="AQ1910" s="162"/>
      <c r="AR1910" s="162"/>
      <c r="AS1910" s="162">
        <v>4</v>
      </c>
      <c r="AT1910" s="162">
        <v>1</v>
      </c>
      <c r="AU1910" s="162">
        <v>1</v>
      </c>
      <c r="AV1910" s="162"/>
      <c r="AW1910" s="162"/>
      <c r="AX1910" s="162"/>
      <c r="AY1910" s="162"/>
      <c r="AZ1910" s="162">
        <v>1</v>
      </c>
      <c r="BA1910" s="162">
        <v>1</v>
      </c>
      <c r="BB1910" s="162">
        <v>1</v>
      </c>
      <c r="BC1910" s="162">
        <v>1</v>
      </c>
      <c r="BD1910" s="162">
        <v>1</v>
      </c>
      <c r="BE1910" s="162">
        <v>1</v>
      </c>
      <c r="BF1910" s="162"/>
      <c r="BG1910" s="162"/>
      <c r="BH1910" s="162"/>
      <c r="BI1910" s="162"/>
      <c r="BJ1910" s="162">
        <v>1</v>
      </c>
      <c r="BK1910" s="162"/>
      <c r="BL1910" s="162"/>
      <c r="BM1910" s="162"/>
      <c r="BN1910" s="162"/>
    </row>
    <row r="1911" spans="1:66" x14ac:dyDescent="0.2">
      <c r="A1911" s="57">
        <v>222</v>
      </c>
      <c r="B1911" s="162" t="s">
        <v>3655</v>
      </c>
      <c r="C1911" s="195">
        <v>44621.373761574076</v>
      </c>
      <c r="D1911" s="55">
        <v>260</v>
      </c>
      <c r="I1911" s="46" t="s">
        <v>839</v>
      </c>
      <c r="J1911" s="162">
        <v>1</v>
      </c>
      <c r="K1911" s="162">
        <v>1</v>
      </c>
      <c r="L1911" s="162"/>
      <c r="M1911" s="162"/>
      <c r="N1911" s="162"/>
      <c r="O1911" s="162">
        <v>1</v>
      </c>
      <c r="P1911" s="162"/>
      <c r="Q1911" s="162"/>
      <c r="R1911" s="162"/>
      <c r="S1911" s="162">
        <v>1</v>
      </c>
      <c r="T1911" s="162"/>
      <c r="U1911" s="162"/>
      <c r="V1911" s="162"/>
      <c r="W1911" s="162">
        <v>1</v>
      </c>
      <c r="X1911" s="162"/>
      <c r="Y1911" s="162"/>
      <c r="Z1911" s="162"/>
      <c r="AA1911" s="162">
        <v>1</v>
      </c>
      <c r="AB1911" s="162"/>
      <c r="AC1911" s="162"/>
      <c r="AD1911" s="162"/>
      <c r="AE1911" s="162"/>
      <c r="AF1911" s="162"/>
      <c r="AG1911" s="162">
        <v>1</v>
      </c>
      <c r="AH1911" s="162"/>
      <c r="AI1911" s="162"/>
      <c r="AJ1911" s="162"/>
      <c r="AK1911" s="162"/>
      <c r="AL1911" s="162"/>
      <c r="AM1911" s="162">
        <v>3</v>
      </c>
      <c r="AN1911" s="162"/>
      <c r="AO1911" s="162"/>
      <c r="AP1911" s="162"/>
      <c r="AQ1911" s="162"/>
      <c r="AR1911" s="162"/>
      <c r="AS1911" s="162">
        <v>3</v>
      </c>
      <c r="AT1911" s="162">
        <v>1</v>
      </c>
      <c r="AU1911" s="162">
        <v>1</v>
      </c>
      <c r="AV1911" s="162"/>
      <c r="AW1911" s="162"/>
      <c r="AX1911" s="162"/>
      <c r="AY1911" s="162"/>
      <c r="AZ1911" s="162">
        <v>1</v>
      </c>
      <c r="BA1911" s="162">
        <v>1</v>
      </c>
      <c r="BB1911" s="162">
        <v>1</v>
      </c>
      <c r="BC1911" s="162">
        <v>1</v>
      </c>
      <c r="BD1911" s="162">
        <v>1</v>
      </c>
      <c r="BE1911" s="162">
        <v>1</v>
      </c>
      <c r="BF1911" s="162"/>
      <c r="BG1911" s="162"/>
      <c r="BH1911" s="162"/>
      <c r="BI1911" s="162"/>
      <c r="BJ1911" s="162">
        <v>1</v>
      </c>
      <c r="BK1911" s="162"/>
      <c r="BL1911" s="162"/>
      <c r="BM1911" s="162"/>
      <c r="BN1911" s="162"/>
    </row>
    <row r="1912" spans="1:66" x14ac:dyDescent="0.2">
      <c r="A1912" s="57">
        <v>222</v>
      </c>
      <c r="B1912" s="162" t="s">
        <v>3655</v>
      </c>
      <c r="C1912" s="195">
        <v>44621.362812500003</v>
      </c>
      <c r="D1912" s="55">
        <v>260</v>
      </c>
      <c r="I1912" s="46" t="s">
        <v>839</v>
      </c>
      <c r="J1912" s="162">
        <v>4</v>
      </c>
      <c r="K1912" s="162">
        <v>2</v>
      </c>
      <c r="L1912" s="162"/>
      <c r="M1912" s="162"/>
      <c r="N1912" s="162"/>
      <c r="O1912" s="162">
        <v>4</v>
      </c>
      <c r="P1912" s="162">
        <v>2</v>
      </c>
      <c r="Q1912" s="162">
        <v>1</v>
      </c>
      <c r="R1912" s="162">
        <v>2</v>
      </c>
      <c r="S1912" s="162">
        <v>3</v>
      </c>
      <c r="T1912" s="162">
        <v>2</v>
      </c>
      <c r="U1912" s="162">
        <v>2</v>
      </c>
      <c r="V1912" s="162">
        <v>2</v>
      </c>
      <c r="W1912" s="162">
        <v>3</v>
      </c>
      <c r="X1912" s="162">
        <v>1</v>
      </c>
      <c r="Y1912" s="162">
        <v>2</v>
      </c>
      <c r="Z1912" s="162">
        <v>2</v>
      </c>
      <c r="AA1912" s="162">
        <v>3</v>
      </c>
      <c r="AB1912" s="162">
        <v>2</v>
      </c>
      <c r="AC1912" s="162">
        <v>2</v>
      </c>
      <c r="AD1912" s="162">
        <v>2</v>
      </c>
      <c r="AE1912" s="162">
        <v>1</v>
      </c>
      <c r="AF1912" s="162">
        <v>2</v>
      </c>
      <c r="AG1912" s="162">
        <v>2</v>
      </c>
      <c r="AH1912" s="162"/>
      <c r="AI1912" s="162"/>
      <c r="AJ1912" s="162"/>
      <c r="AK1912" s="162"/>
      <c r="AL1912" s="162"/>
      <c r="AM1912" s="162">
        <v>2</v>
      </c>
      <c r="AN1912" s="162">
        <v>2</v>
      </c>
      <c r="AO1912" s="162">
        <v>2</v>
      </c>
      <c r="AP1912" s="162">
        <v>3</v>
      </c>
      <c r="AQ1912" s="162">
        <v>3</v>
      </c>
      <c r="AR1912" s="162">
        <v>3</v>
      </c>
      <c r="AS1912" s="162">
        <v>4</v>
      </c>
      <c r="AT1912" s="162">
        <v>4</v>
      </c>
      <c r="AU1912" s="162">
        <v>4</v>
      </c>
      <c r="AV1912" s="162">
        <v>1</v>
      </c>
      <c r="AW1912" s="162">
        <v>2</v>
      </c>
      <c r="AX1912" s="162">
        <v>2</v>
      </c>
      <c r="AY1912" s="162">
        <v>2</v>
      </c>
      <c r="AZ1912" s="162">
        <v>2</v>
      </c>
      <c r="BA1912" s="162">
        <v>2</v>
      </c>
      <c r="BB1912" s="162">
        <v>2</v>
      </c>
      <c r="BC1912" s="162">
        <v>2</v>
      </c>
      <c r="BD1912" s="162">
        <v>1</v>
      </c>
      <c r="BE1912" s="162">
        <v>4</v>
      </c>
      <c r="BF1912" s="162">
        <v>2</v>
      </c>
      <c r="BG1912" s="162">
        <v>2</v>
      </c>
      <c r="BH1912" s="162">
        <v>2</v>
      </c>
      <c r="BI1912" s="162">
        <v>2</v>
      </c>
      <c r="BJ1912" s="162">
        <v>3</v>
      </c>
      <c r="BK1912" s="162">
        <v>2</v>
      </c>
      <c r="BL1912" s="162">
        <v>2</v>
      </c>
      <c r="BM1912" s="162">
        <v>3</v>
      </c>
      <c r="BN1912" s="162">
        <v>2</v>
      </c>
    </row>
    <row r="1913" spans="1:66" x14ac:dyDescent="0.2">
      <c r="A1913" s="57">
        <v>222</v>
      </c>
      <c r="B1913" s="162" t="s">
        <v>3655</v>
      </c>
      <c r="C1913" s="195">
        <v>44621.332708333335</v>
      </c>
      <c r="D1913" s="55">
        <v>260</v>
      </c>
      <c r="I1913" s="46" t="s">
        <v>839</v>
      </c>
      <c r="J1913" s="162">
        <v>1</v>
      </c>
      <c r="K1913" s="162">
        <v>1</v>
      </c>
      <c r="L1913" s="162"/>
      <c r="M1913" s="162"/>
      <c r="N1913" s="162"/>
      <c r="O1913" s="162">
        <v>1</v>
      </c>
      <c r="P1913" s="162"/>
      <c r="Q1913" s="162"/>
      <c r="R1913" s="162"/>
      <c r="S1913" s="162">
        <v>1</v>
      </c>
      <c r="T1913" s="162"/>
      <c r="U1913" s="162"/>
      <c r="V1913" s="162"/>
      <c r="W1913" s="162">
        <v>1</v>
      </c>
      <c r="X1913" s="162"/>
      <c r="Y1913" s="162"/>
      <c r="Z1913" s="162"/>
      <c r="AA1913" s="162">
        <v>1</v>
      </c>
      <c r="AB1913" s="162"/>
      <c r="AC1913" s="162"/>
      <c r="AD1913" s="162"/>
      <c r="AE1913" s="162"/>
      <c r="AF1913" s="162"/>
      <c r="AG1913" s="162">
        <v>1</v>
      </c>
      <c r="AH1913" s="162"/>
      <c r="AI1913" s="162"/>
      <c r="AJ1913" s="162"/>
      <c r="AK1913" s="162"/>
      <c r="AL1913" s="162"/>
      <c r="AM1913" s="162">
        <v>4</v>
      </c>
      <c r="AN1913" s="162"/>
      <c r="AO1913" s="162"/>
      <c r="AP1913" s="162"/>
      <c r="AQ1913" s="162"/>
      <c r="AR1913" s="162"/>
      <c r="AS1913" s="162">
        <v>4</v>
      </c>
      <c r="AT1913" s="162">
        <v>1</v>
      </c>
      <c r="AU1913" s="162">
        <v>1</v>
      </c>
      <c r="AV1913" s="162"/>
      <c r="AW1913" s="162"/>
      <c r="AX1913" s="162"/>
      <c r="AY1913" s="162"/>
      <c r="AZ1913" s="162">
        <v>1</v>
      </c>
      <c r="BA1913" s="162">
        <v>1</v>
      </c>
      <c r="BB1913" s="162">
        <v>1</v>
      </c>
      <c r="BC1913" s="162">
        <v>1</v>
      </c>
      <c r="BD1913" s="162">
        <v>1</v>
      </c>
      <c r="BE1913" s="162">
        <v>1</v>
      </c>
      <c r="BF1913" s="162"/>
      <c r="BG1913" s="162"/>
      <c r="BH1913" s="162"/>
      <c r="BI1913" s="162"/>
      <c r="BJ1913" s="162">
        <v>1</v>
      </c>
      <c r="BK1913" s="162"/>
      <c r="BL1913" s="162"/>
      <c r="BM1913" s="162"/>
      <c r="BN1913" s="162"/>
    </row>
    <row r="1914" spans="1:66" x14ac:dyDescent="0.2">
      <c r="A1914" s="57">
        <v>222</v>
      </c>
      <c r="B1914" s="162" t="s">
        <v>3655</v>
      </c>
      <c r="C1914" s="195">
        <v>44621.325960648152</v>
      </c>
      <c r="D1914" s="55">
        <v>260</v>
      </c>
      <c r="I1914" s="46" t="s">
        <v>839</v>
      </c>
      <c r="J1914" s="162">
        <v>1</v>
      </c>
      <c r="K1914" s="162">
        <v>1</v>
      </c>
      <c r="L1914" s="162"/>
      <c r="M1914" s="162"/>
      <c r="N1914" s="162"/>
      <c r="O1914" s="162">
        <v>1</v>
      </c>
      <c r="P1914" s="162"/>
      <c r="Q1914" s="162"/>
      <c r="R1914" s="162"/>
      <c r="S1914" s="162">
        <v>1</v>
      </c>
      <c r="T1914" s="162"/>
      <c r="U1914" s="162"/>
      <c r="V1914" s="162"/>
      <c r="W1914" s="162">
        <v>1</v>
      </c>
      <c r="X1914" s="162"/>
      <c r="Y1914" s="162"/>
      <c r="Z1914" s="162"/>
      <c r="AA1914" s="162">
        <v>1</v>
      </c>
      <c r="AB1914" s="162"/>
      <c r="AC1914" s="162"/>
      <c r="AD1914" s="162"/>
      <c r="AE1914" s="162"/>
      <c r="AF1914" s="162"/>
      <c r="AG1914" s="162">
        <v>1</v>
      </c>
      <c r="AH1914" s="162"/>
      <c r="AI1914" s="162"/>
      <c r="AJ1914" s="162"/>
      <c r="AK1914" s="162"/>
      <c r="AL1914" s="162"/>
      <c r="AM1914" s="162">
        <v>4</v>
      </c>
      <c r="AN1914" s="162"/>
      <c r="AO1914" s="162"/>
      <c r="AP1914" s="162"/>
      <c r="AQ1914" s="162"/>
      <c r="AR1914" s="162"/>
      <c r="AS1914" s="162">
        <v>4</v>
      </c>
      <c r="AT1914" s="162">
        <v>1</v>
      </c>
      <c r="AU1914" s="162">
        <v>1</v>
      </c>
      <c r="AV1914" s="162"/>
      <c r="AW1914" s="162"/>
      <c r="AX1914" s="162"/>
      <c r="AY1914" s="162"/>
      <c r="AZ1914" s="162">
        <v>1</v>
      </c>
      <c r="BA1914" s="162">
        <v>1</v>
      </c>
      <c r="BB1914" s="162">
        <v>1</v>
      </c>
      <c r="BC1914" s="162">
        <v>1</v>
      </c>
      <c r="BD1914" s="162">
        <v>1</v>
      </c>
      <c r="BE1914" s="162">
        <v>1</v>
      </c>
      <c r="BF1914" s="162"/>
      <c r="BG1914" s="162"/>
      <c r="BH1914" s="162"/>
      <c r="BI1914" s="162"/>
      <c r="BJ1914" s="162">
        <v>1</v>
      </c>
      <c r="BK1914" s="162"/>
      <c r="BL1914" s="162"/>
      <c r="BM1914" s="162"/>
      <c r="BN1914" s="162"/>
    </row>
    <row r="1915" spans="1:66" x14ac:dyDescent="0.2">
      <c r="A1915" s="57">
        <v>222</v>
      </c>
      <c r="B1915" s="162" t="s">
        <v>3655</v>
      </c>
      <c r="C1915" s="195">
        <v>44621.324629629627</v>
      </c>
      <c r="D1915" s="55">
        <v>260</v>
      </c>
      <c r="I1915" s="46" t="s">
        <v>839</v>
      </c>
      <c r="J1915" s="162">
        <v>1</v>
      </c>
      <c r="K1915" s="162">
        <v>1</v>
      </c>
      <c r="L1915" s="162"/>
      <c r="M1915" s="162"/>
      <c r="N1915" s="162"/>
      <c r="O1915" s="162">
        <v>1</v>
      </c>
      <c r="P1915" s="162"/>
      <c r="Q1915" s="162"/>
      <c r="R1915" s="162"/>
      <c r="S1915" s="162">
        <v>1</v>
      </c>
      <c r="T1915" s="162"/>
      <c r="U1915" s="162"/>
      <c r="V1915" s="162"/>
      <c r="W1915" s="162">
        <v>1</v>
      </c>
      <c r="X1915" s="162"/>
      <c r="Y1915" s="162"/>
      <c r="Z1915" s="162"/>
      <c r="AA1915" s="162">
        <v>1</v>
      </c>
      <c r="AB1915" s="162"/>
      <c r="AC1915" s="162"/>
      <c r="AD1915" s="162"/>
      <c r="AE1915" s="162"/>
      <c r="AF1915" s="162"/>
      <c r="AG1915" s="162">
        <v>1</v>
      </c>
      <c r="AH1915" s="162"/>
      <c r="AI1915" s="162"/>
      <c r="AJ1915" s="162"/>
      <c r="AK1915" s="162"/>
      <c r="AL1915" s="162"/>
      <c r="AM1915" s="162">
        <v>2</v>
      </c>
      <c r="AN1915" s="162">
        <v>3</v>
      </c>
      <c r="AO1915" s="162">
        <v>3</v>
      </c>
      <c r="AP1915" s="162">
        <v>1</v>
      </c>
      <c r="AQ1915" s="162">
        <v>3</v>
      </c>
      <c r="AR1915" s="162">
        <v>3</v>
      </c>
      <c r="AS1915" s="162">
        <v>3</v>
      </c>
      <c r="AT1915" s="162">
        <v>1</v>
      </c>
      <c r="AU1915" s="162">
        <v>1</v>
      </c>
      <c r="AV1915" s="162"/>
      <c r="AW1915" s="162"/>
      <c r="AX1915" s="162"/>
      <c r="AY1915" s="162"/>
      <c r="AZ1915" s="162">
        <v>1</v>
      </c>
      <c r="BA1915" s="162">
        <v>1</v>
      </c>
      <c r="BB1915" s="162">
        <v>1</v>
      </c>
      <c r="BC1915" s="162">
        <v>1</v>
      </c>
      <c r="BD1915" s="162">
        <v>1</v>
      </c>
      <c r="BE1915" s="162">
        <v>1</v>
      </c>
      <c r="BF1915" s="162"/>
      <c r="BG1915" s="162"/>
      <c r="BH1915" s="162"/>
      <c r="BI1915" s="162"/>
      <c r="BJ1915" s="162">
        <v>1</v>
      </c>
      <c r="BK1915" s="162"/>
      <c r="BL1915" s="162"/>
      <c r="BM1915" s="162"/>
      <c r="BN1915" s="162"/>
    </row>
    <row r="1916" spans="1:66" x14ac:dyDescent="0.2">
      <c r="A1916" s="57">
        <v>222</v>
      </c>
      <c r="B1916" s="162" t="s">
        <v>3655</v>
      </c>
      <c r="C1916" s="195">
        <v>44621.321238425924</v>
      </c>
      <c r="D1916" s="55">
        <v>260</v>
      </c>
      <c r="I1916" s="46" t="s">
        <v>839</v>
      </c>
      <c r="J1916" s="162">
        <v>2</v>
      </c>
      <c r="K1916" s="162">
        <v>2</v>
      </c>
      <c r="L1916" s="162"/>
      <c r="M1916" s="162"/>
      <c r="N1916" s="162"/>
      <c r="O1916" s="162">
        <v>2</v>
      </c>
      <c r="P1916" s="162"/>
      <c r="Q1916" s="162"/>
      <c r="R1916" s="162"/>
      <c r="S1916" s="162">
        <v>1</v>
      </c>
      <c r="T1916" s="162"/>
      <c r="U1916" s="162"/>
      <c r="V1916" s="162"/>
      <c r="W1916" s="162">
        <v>1</v>
      </c>
      <c r="X1916" s="162"/>
      <c r="Y1916" s="162"/>
      <c r="Z1916" s="162"/>
      <c r="AA1916" s="162">
        <v>2</v>
      </c>
      <c r="AB1916" s="162"/>
      <c r="AC1916" s="162"/>
      <c r="AD1916" s="162"/>
      <c r="AE1916" s="162"/>
      <c r="AF1916" s="162"/>
      <c r="AG1916" s="162">
        <v>2</v>
      </c>
      <c r="AH1916" s="162"/>
      <c r="AI1916" s="162"/>
      <c r="AJ1916" s="162"/>
      <c r="AK1916" s="162"/>
      <c r="AL1916" s="162"/>
      <c r="AM1916" s="162">
        <v>1</v>
      </c>
      <c r="AN1916" s="162">
        <v>1</v>
      </c>
      <c r="AO1916" s="162">
        <v>1</v>
      </c>
      <c r="AP1916" s="162">
        <v>1</v>
      </c>
      <c r="AQ1916" s="162">
        <v>3</v>
      </c>
      <c r="AR1916" s="162">
        <v>2</v>
      </c>
      <c r="AS1916" s="162">
        <v>4</v>
      </c>
      <c r="AT1916" s="162">
        <v>2</v>
      </c>
      <c r="AU1916" s="162">
        <v>1</v>
      </c>
      <c r="AV1916" s="162"/>
      <c r="AW1916" s="162"/>
      <c r="AX1916" s="162"/>
      <c r="AY1916" s="162"/>
      <c r="AZ1916" s="162">
        <v>1</v>
      </c>
      <c r="BA1916" s="162">
        <v>1</v>
      </c>
      <c r="BB1916" s="162">
        <v>1</v>
      </c>
      <c r="BC1916" s="162">
        <v>1</v>
      </c>
      <c r="BD1916" s="162">
        <v>1</v>
      </c>
      <c r="BE1916" s="162">
        <v>2</v>
      </c>
      <c r="BF1916" s="162"/>
      <c r="BG1916" s="162"/>
      <c r="BH1916" s="162"/>
      <c r="BI1916" s="162"/>
      <c r="BJ1916" s="162">
        <v>1</v>
      </c>
      <c r="BK1916" s="162"/>
      <c r="BL1916" s="162"/>
      <c r="BM1916" s="162"/>
      <c r="BN1916" s="162"/>
    </row>
    <row r="1917" spans="1:66" x14ac:dyDescent="0.2">
      <c r="A1917" s="57">
        <v>122</v>
      </c>
      <c r="B1917" s="162" t="s">
        <v>3655</v>
      </c>
      <c r="C1917" s="195">
        <v>44603.450810185182</v>
      </c>
      <c r="D1917" s="55">
        <v>260</v>
      </c>
      <c r="I1917" s="46" t="s">
        <v>839</v>
      </c>
      <c r="J1917" s="162">
        <v>1</v>
      </c>
      <c r="K1917" s="162">
        <v>1</v>
      </c>
      <c r="L1917" s="162"/>
      <c r="M1917" s="162"/>
      <c r="N1917" s="162"/>
      <c r="O1917" s="162">
        <v>1</v>
      </c>
      <c r="P1917" s="162"/>
      <c r="Q1917" s="162"/>
      <c r="R1917" s="162"/>
      <c r="S1917" s="162">
        <v>1</v>
      </c>
      <c r="T1917" s="162"/>
      <c r="U1917" s="162"/>
      <c r="V1917" s="162"/>
      <c r="W1917" s="162">
        <v>1</v>
      </c>
      <c r="X1917" s="162"/>
      <c r="Y1917" s="162"/>
      <c r="Z1917" s="162"/>
      <c r="AA1917" s="162">
        <v>1</v>
      </c>
      <c r="AB1917" s="162"/>
      <c r="AC1917" s="162"/>
      <c r="AD1917" s="162"/>
      <c r="AE1917" s="162"/>
      <c r="AF1917" s="162"/>
      <c r="AG1917" s="162">
        <v>1</v>
      </c>
      <c r="AH1917" s="162"/>
      <c r="AI1917" s="162"/>
      <c r="AJ1917" s="162"/>
      <c r="AK1917" s="162"/>
      <c r="AL1917" s="162"/>
      <c r="AM1917" s="162">
        <v>2</v>
      </c>
      <c r="AN1917" s="162">
        <v>1</v>
      </c>
      <c r="AO1917" s="162">
        <v>3</v>
      </c>
      <c r="AP1917" s="162">
        <v>1</v>
      </c>
      <c r="AQ1917" s="162">
        <v>3</v>
      </c>
      <c r="AR1917" s="162">
        <v>3</v>
      </c>
      <c r="AS1917" s="162">
        <v>4</v>
      </c>
      <c r="AT1917" s="162">
        <v>1</v>
      </c>
      <c r="AU1917" s="162">
        <v>1</v>
      </c>
      <c r="AV1917" s="162"/>
      <c r="AW1917" s="162"/>
      <c r="AX1917" s="162"/>
      <c r="AY1917" s="162"/>
      <c r="AZ1917" s="162">
        <v>1</v>
      </c>
      <c r="BA1917" s="162">
        <v>1</v>
      </c>
      <c r="BB1917" s="162">
        <v>1</v>
      </c>
      <c r="BC1917" s="162">
        <v>1</v>
      </c>
      <c r="BD1917" s="162">
        <v>1</v>
      </c>
      <c r="BE1917" s="162">
        <v>1</v>
      </c>
      <c r="BF1917" s="162"/>
      <c r="BG1917" s="162"/>
      <c r="BH1917" s="162"/>
      <c r="BI1917" s="162"/>
      <c r="BJ1917" s="162">
        <v>1</v>
      </c>
      <c r="BK1917" s="162"/>
      <c r="BL1917" s="162"/>
      <c r="BM1917" s="162"/>
      <c r="BN1917" s="162"/>
    </row>
    <row r="1918" spans="1:66" x14ac:dyDescent="0.2">
      <c r="A1918" s="57">
        <v>122</v>
      </c>
      <c r="B1918" s="162" t="s">
        <v>3655</v>
      </c>
      <c r="C1918" s="195">
        <v>44598.390104166669</v>
      </c>
      <c r="D1918" s="55">
        <v>260</v>
      </c>
      <c r="I1918" s="46" t="s">
        <v>839</v>
      </c>
      <c r="J1918" s="162">
        <v>3</v>
      </c>
      <c r="K1918" s="162">
        <v>4</v>
      </c>
      <c r="L1918" s="162">
        <v>2</v>
      </c>
      <c r="M1918" s="162">
        <v>2</v>
      </c>
      <c r="N1918" s="162">
        <v>2</v>
      </c>
      <c r="O1918" s="162">
        <v>4</v>
      </c>
      <c r="P1918" s="162">
        <v>2</v>
      </c>
      <c r="Q1918" s="162">
        <v>2</v>
      </c>
      <c r="R1918" s="162">
        <v>2</v>
      </c>
      <c r="S1918" s="162">
        <v>2</v>
      </c>
      <c r="T1918" s="162"/>
      <c r="U1918" s="162"/>
      <c r="V1918" s="162"/>
      <c r="W1918" s="162">
        <v>3</v>
      </c>
      <c r="X1918" s="162">
        <v>2</v>
      </c>
      <c r="Y1918" s="162">
        <v>2</v>
      </c>
      <c r="Z1918" s="162">
        <v>2</v>
      </c>
      <c r="AA1918" s="162">
        <v>4</v>
      </c>
      <c r="AB1918" s="162">
        <v>1</v>
      </c>
      <c r="AC1918" s="162">
        <v>2</v>
      </c>
      <c r="AD1918" s="162">
        <v>2</v>
      </c>
      <c r="AE1918" s="162">
        <v>2</v>
      </c>
      <c r="AF1918" s="162">
        <v>2</v>
      </c>
      <c r="AG1918" s="162">
        <v>3</v>
      </c>
      <c r="AH1918" s="162">
        <v>2</v>
      </c>
      <c r="AI1918" s="162">
        <v>1</v>
      </c>
      <c r="AJ1918" s="162">
        <v>2</v>
      </c>
      <c r="AK1918" s="162">
        <v>2</v>
      </c>
      <c r="AL1918" s="162">
        <v>2</v>
      </c>
      <c r="AM1918" s="162">
        <v>3</v>
      </c>
      <c r="AN1918" s="162"/>
      <c r="AO1918" s="162"/>
      <c r="AP1918" s="162"/>
      <c r="AQ1918" s="162"/>
      <c r="AR1918" s="162"/>
      <c r="AS1918" s="162">
        <v>4</v>
      </c>
      <c r="AT1918" s="162">
        <v>3</v>
      </c>
      <c r="AU1918" s="162">
        <v>3</v>
      </c>
      <c r="AV1918" s="162">
        <v>1</v>
      </c>
      <c r="AW1918" s="162">
        <v>2</v>
      </c>
      <c r="AX1918" s="162">
        <v>2</v>
      </c>
      <c r="AY1918" s="162">
        <v>2</v>
      </c>
      <c r="AZ1918" s="162">
        <v>1</v>
      </c>
      <c r="BA1918" s="162">
        <v>1</v>
      </c>
      <c r="BB1918" s="162">
        <v>1</v>
      </c>
      <c r="BC1918" s="162">
        <v>2</v>
      </c>
      <c r="BD1918" s="162">
        <v>1</v>
      </c>
      <c r="BE1918" s="162">
        <v>4</v>
      </c>
      <c r="BF1918" s="162">
        <v>2</v>
      </c>
      <c r="BG1918" s="162">
        <v>2</v>
      </c>
      <c r="BH1918" s="162">
        <v>2</v>
      </c>
      <c r="BI1918" s="162">
        <v>1</v>
      </c>
      <c r="BJ1918" s="162">
        <v>2</v>
      </c>
      <c r="BK1918" s="162"/>
      <c r="BL1918" s="162"/>
      <c r="BM1918" s="162"/>
      <c r="BN1918" s="162"/>
    </row>
    <row r="1919" spans="1:66" x14ac:dyDescent="0.2">
      <c r="A1919" s="57">
        <v>122</v>
      </c>
      <c r="B1919" s="162" t="s">
        <v>3655</v>
      </c>
      <c r="C1919" s="195">
        <v>44595.237326388888</v>
      </c>
      <c r="D1919" s="55">
        <v>260</v>
      </c>
      <c r="I1919" s="46" t="s">
        <v>839</v>
      </c>
      <c r="J1919" s="162">
        <v>1</v>
      </c>
      <c r="K1919" s="162">
        <v>1</v>
      </c>
      <c r="L1919" s="162"/>
      <c r="M1919" s="162"/>
      <c r="N1919" s="162"/>
      <c r="O1919" s="162">
        <v>1</v>
      </c>
      <c r="P1919" s="162"/>
      <c r="Q1919" s="162"/>
      <c r="R1919" s="162"/>
      <c r="S1919" s="162">
        <v>1</v>
      </c>
      <c r="T1919" s="162"/>
      <c r="U1919" s="162"/>
      <c r="V1919" s="162"/>
      <c r="W1919" s="162">
        <v>1</v>
      </c>
      <c r="X1919" s="162"/>
      <c r="Y1919" s="162"/>
      <c r="Z1919" s="162"/>
      <c r="AA1919" s="162">
        <v>1</v>
      </c>
      <c r="AB1919" s="162"/>
      <c r="AC1919" s="162"/>
      <c r="AD1919" s="162"/>
      <c r="AE1919" s="162"/>
      <c r="AF1919" s="162"/>
      <c r="AG1919" s="162">
        <v>1</v>
      </c>
      <c r="AH1919" s="162"/>
      <c r="AI1919" s="162"/>
      <c r="AJ1919" s="162"/>
      <c r="AK1919" s="162"/>
      <c r="AL1919" s="162"/>
      <c r="AM1919" s="162">
        <v>4</v>
      </c>
      <c r="AN1919" s="162"/>
      <c r="AO1919" s="162"/>
      <c r="AP1919" s="162"/>
      <c r="AQ1919" s="162"/>
      <c r="AR1919" s="162"/>
      <c r="AS1919" s="162">
        <v>4</v>
      </c>
      <c r="AT1919" s="162">
        <v>1</v>
      </c>
      <c r="AU1919" s="162">
        <v>1</v>
      </c>
      <c r="AV1919" s="162"/>
      <c r="AW1919" s="162"/>
      <c r="AX1919" s="162"/>
      <c r="AY1919" s="162"/>
      <c r="AZ1919" s="162">
        <v>1</v>
      </c>
      <c r="BA1919" s="162">
        <v>1</v>
      </c>
      <c r="BB1919" s="162">
        <v>1</v>
      </c>
      <c r="BC1919" s="162">
        <v>1</v>
      </c>
      <c r="BD1919" s="162">
        <v>1</v>
      </c>
      <c r="BE1919" s="162">
        <v>1</v>
      </c>
      <c r="BF1919" s="162"/>
      <c r="BG1919" s="162"/>
      <c r="BH1919" s="162"/>
      <c r="BI1919" s="162"/>
      <c r="BJ1919" s="162">
        <v>1</v>
      </c>
      <c r="BK1919" s="162"/>
      <c r="BL1919" s="162"/>
      <c r="BM1919" s="162"/>
      <c r="BN1919" s="162"/>
    </row>
    <row r="1920" spans="1:66" x14ac:dyDescent="0.2">
      <c r="A1920" s="57">
        <v>122</v>
      </c>
      <c r="B1920" s="162" t="s">
        <v>3655</v>
      </c>
      <c r="C1920" s="195">
        <v>44594.462650462963</v>
      </c>
      <c r="D1920" s="55">
        <v>260</v>
      </c>
      <c r="I1920" s="46" t="s">
        <v>839</v>
      </c>
      <c r="J1920" s="162">
        <v>1</v>
      </c>
      <c r="K1920" s="162">
        <v>1</v>
      </c>
      <c r="L1920" s="162"/>
      <c r="M1920" s="162"/>
      <c r="N1920" s="162"/>
      <c r="O1920" s="162">
        <v>1</v>
      </c>
      <c r="P1920" s="162"/>
      <c r="Q1920" s="162"/>
      <c r="R1920" s="162"/>
      <c r="S1920" s="162">
        <v>1</v>
      </c>
      <c r="T1920" s="162"/>
      <c r="U1920" s="162"/>
      <c r="V1920" s="162"/>
      <c r="W1920" s="162">
        <v>1</v>
      </c>
      <c r="X1920" s="162"/>
      <c r="Y1920" s="162"/>
      <c r="Z1920" s="162"/>
      <c r="AA1920" s="162">
        <v>1</v>
      </c>
      <c r="AB1920" s="162"/>
      <c r="AC1920" s="162"/>
      <c r="AD1920" s="162"/>
      <c r="AE1920" s="162"/>
      <c r="AF1920" s="162"/>
      <c r="AG1920" s="162">
        <v>1</v>
      </c>
      <c r="AH1920" s="162"/>
      <c r="AI1920" s="162"/>
      <c r="AJ1920" s="162"/>
      <c r="AK1920" s="162"/>
      <c r="AL1920" s="162"/>
      <c r="AM1920" s="162">
        <v>1</v>
      </c>
      <c r="AN1920" s="162">
        <v>1</v>
      </c>
      <c r="AO1920" s="162">
        <v>1</v>
      </c>
      <c r="AP1920" s="162">
        <v>1</v>
      </c>
      <c r="AQ1920" s="162">
        <v>2</v>
      </c>
      <c r="AR1920" s="162">
        <v>2</v>
      </c>
      <c r="AS1920" s="162">
        <v>1</v>
      </c>
      <c r="AT1920" s="162">
        <v>1</v>
      </c>
      <c r="AU1920" s="162">
        <v>1</v>
      </c>
      <c r="AV1920" s="162"/>
      <c r="AW1920" s="162"/>
      <c r="AX1920" s="162"/>
      <c r="AY1920" s="162"/>
      <c r="AZ1920" s="162">
        <v>1</v>
      </c>
      <c r="BA1920" s="162">
        <v>1</v>
      </c>
      <c r="BB1920" s="162">
        <v>1</v>
      </c>
      <c r="BC1920" s="162">
        <v>1</v>
      </c>
      <c r="BD1920" s="162">
        <v>1</v>
      </c>
      <c r="BE1920" s="162">
        <v>1</v>
      </c>
      <c r="BF1920" s="162"/>
      <c r="BG1920" s="162"/>
      <c r="BH1920" s="162"/>
      <c r="BI1920" s="162"/>
      <c r="BJ1920" s="162">
        <v>1</v>
      </c>
      <c r="BK1920" s="162"/>
      <c r="BL1920" s="162"/>
      <c r="BM1920" s="162"/>
      <c r="BN1920" s="162"/>
    </row>
    <row r="1921" spans="1:66" x14ac:dyDescent="0.2">
      <c r="A1921" s="57">
        <v>122</v>
      </c>
      <c r="B1921" s="162" t="s">
        <v>3655</v>
      </c>
      <c r="C1921" s="195">
        <v>44593.516122685185</v>
      </c>
      <c r="D1921" s="55">
        <v>260</v>
      </c>
      <c r="I1921" s="46" t="s">
        <v>839</v>
      </c>
      <c r="J1921" s="162">
        <v>1</v>
      </c>
      <c r="K1921" s="162">
        <v>1</v>
      </c>
      <c r="L1921" s="162"/>
      <c r="M1921" s="162"/>
      <c r="N1921" s="162"/>
      <c r="O1921" s="162">
        <v>1</v>
      </c>
      <c r="P1921" s="162"/>
      <c r="Q1921" s="162"/>
      <c r="R1921" s="162"/>
      <c r="S1921" s="162">
        <v>1</v>
      </c>
      <c r="T1921" s="162"/>
      <c r="U1921" s="162"/>
      <c r="V1921" s="162"/>
      <c r="W1921" s="162">
        <v>1</v>
      </c>
      <c r="X1921" s="162"/>
      <c r="Y1921" s="162"/>
      <c r="Z1921" s="162"/>
      <c r="AA1921" s="162">
        <v>1</v>
      </c>
      <c r="AB1921" s="162"/>
      <c r="AC1921" s="162"/>
      <c r="AD1921" s="162"/>
      <c r="AE1921" s="162"/>
      <c r="AF1921" s="162"/>
      <c r="AG1921" s="162">
        <v>1</v>
      </c>
      <c r="AH1921" s="162"/>
      <c r="AI1921" s="162"/>
      <c r="AJ1921" s="162"/>
      <c r="AK1921" s="162"/>
      <c r="AL1921" s="162"/>
      <c r="AM1921" s="162">
        <v>3</v>
      </c>
      <c r="AN1921" s="162"/>
      <c r="AO1921" s="162"/>
      <c r="AP1921" s="162"/>
      <c r="AQ1921" s="162"/>
      <c r="AR1921" s="162"/>
      <c r="AS1921" s="162">
        <v>4</v>
      </c>
      <c r="AT1921" s="162">
        <v>1</v>
      </c>
      <c r="AU1921" s="162">
        <v>1</v>
      </c>
      <c r="AV1921" s="162"/>
      <c r="AW1921" s="162"/>
      <c r="AX1921" s="162"/>
      <c r="AY1921" s="162"/>
      <c r="AZ1921" s="162">
        <v>1</v>
      </c>
      <c r="BA1921" s="162">
        <v>1</v>
      </c>
      <c r="BB1921" s="162">
        <v>1</v>
      </c>
      <c r="BC1921" s="162">
        <v>1</v>
      </c>
      <c r="BD1921" s="162">
        <v>1</v>
      </c>
      <c r="BE1921" s="162">
        <v>1</v>
      </c>
      <c r="BF1921" s="162"/>
      <c r="BG1921" s="162"/>
      <c r="BH1921" s="162"/>
      <c r="BI1921" s="162"/>
      <c r="BJ1921" s="162">
        <v>1</v>
      </c>
      <c r="BK1921" s="162"/>
      <c r="BL1921" s="162"/>
      <c r="BM1921" s="162"/>
      <c r="BN1921" s="162"/>
    </row>
    <row r="1922" spans="1:66" x14ac:dyDescent="0.2">
      <c r="A1922" s="57">
        <v>122</v>
      </c>
      <c r="B1922" s="162" t="s">
        <v>3655</v>
      </c>
      <c r="C1922" s="195">
        <v>44593.337731481479</v>
      </c>
      <c r="D1922" s="55">
        <v>260</v>
      </c>
      <c r="I1922" s="46" t="s">
        <v>839</v>
      </c>
      <c r="J1922" s="162">
        <v>2</v>
      </c>
      <c r="K1922" s="162">
        <v>2</v>
      </c>
      <c r="L1922" s="162"/>
      <c r="M1922" s="162"/>
      <c r="N1922" s="162"/>
      <c r="O1922" s="162">
        <v>2</v>
      </c>
      <c r="P1922" s="162"/>
      <c r="Q1922" s="162"/>
      <c r="R1922" s="162"/>
      <c r="S1922" s="162">
        <v>1</v>
      </c>
      <c r="T1922" s="162"/>
      <c r="U1922" s="162"/>
      <c r="V1922" s="162"/>
      <c r="W1922" s="162">
        <v>2</v>
      </c>
      <c r="X1922" s="162"/>
      <c r="Y1922" s="162"/>
      <c r="Z1922" s="162"/>
      <c r="AA1922" s="162">
        <v>2</v>
      </c>
      <c r="AB1922" s="162"/>
      <c r="AC1922" s="162"/>
      <c r="AD1922" s="162"/>
      <c r="AE1922" s="162"/>
      <c r="AF1922" s="162"/>
      <c r="AG1922" s="162">
        <v>3</v>
      </c>
      <c r="AH1922" s="162">
        <v>3</v>
      </c>
      <c r="AI1922" s="162">
        <v>1</v>
      </c>
      <c r="AJ1922" s="162">
        <v>1</v>
      </c>
      <c r="AK1922" s="162">
        <v>3</v>
      </c>
      <c r="AL1922" s="162">
        <v>2</v>
      </c>
      <c r="AM1922" s="162">
        <v>3</v>
      </c>
      <c r="AN1922" s="162"/>
      <c r="AO1922" s="162"/>
      <c r="AP1922" s="162"/>
      <c r="AQ1922" s="162"/>
      <c r="AR1922" s="162"/>
      <c r="AS1922" s="162">
        <v>4</v>
      </c>
      <c r="AT1922" s="162">
        <v>2</v>
      </c>
      <c r="AU1922" s="162">
        <v>2</v>
      </c>
      <c r="AV1922" s="162"/>
      <c r="AW1922" s="162"/>
      <c r="AX1922" s="162"/>
      <c r="AY1922" s="162"/>
      <c r="AZ1922" s="162">
        <v>1</v>
      </c>
      <c r="BA1922" s="162">
        <v>1</v>
      </c>
      <c r="BB1922" s="162">
        <v>1</v>
      </c>
      <c r="BC1922" s="162">
        <v>1</v>
      </c>
      <c r="BD1922" s="162">
        <v>1</v>
      </c>
      <c r="BE1922" s="162">
        <v>3</v>
      </c>
      <c r="BF1922" s="162">
        <v>1</v>
      </c>
      <c r="BG1922" s="162">
        <v>3</v>
      </c>
      <c r="BH1922" s="162">
        <v>1</v>
      </c>
      <c r="BI1922" s="162">
        <v>1</v>
      </c>
      <c r="BJ1922" s="162">
        <v>2</v>
      </c>
      <c r="BK1922" s="162"/>
      <c r="BL1922" s="162"/>
      <c r="BM1922" s="162"/>
      <c r="BN1922" s="162"/>
    </row>
    <row r="1923" spans="1:66" x14ac:dyDescent="0.2">
      <c r="A1923" s="57">
        <v>1221</v>
      </c>
      <c r="B1923" s="162" t="s">
        <v>3655</v>
      </c>
      <c r="C1923" s="195">
        <v>44577.213773148149</v>
      </c>
      <c r="D1923" s="55">
        <v>260</v>
      </c>
      <c r="I1923" s="46" t="s">
        <v>839</v>
      </c>
      <c r="J1923" s="162">
        <v>1</v>
      </c>
      <c r="K1923" s="162">
        <v>1</v>
      </c>
      <c r="L1923" s="162"/>
      <c r="M1923" s="162"/>
      <c r="N1923" s="162"/>
      <c r="O1923" s="162">
        <v>1</v>
      </c>
      <c r="P1923" s="162"/>
      <c r="Q1923" s="162"/>
      <c r="R1923" s="162"/>
      <c r="S1923" s="162">
        <v>1</v>
      </c>
      <c r="T1923" s="162"/>
      <c r="U1923" s="162"/>
      <c r="V1923" s="162"/>
      <c r="W1923" s="162">
        <v>1</v>
      </c>
      <c r="X1923" s="162"/>
      <c r="Y1923" s="162"/>
      <c r="Z1923" s="162"/>
      <c r="AA1923" s="162">
        <v>1</v>
      </c>
      <c r="AB1923" s="162"/>
      <c r="AC1923" s="162"/>
      <c r="AD1923" s="162"/>
      <c r="AE1923" s="162"/>
      <c r="AF1923" s="162"/>
      <c r="AG1923" s="162">
        <v>1</v>
      </c>
      <c r="AH1923" s="162"/>
      <c r="AI1923" s="162"/>
      <c r="AJ1923" s="162"/>
      <c r="AK1923" s="162"/>
      <c r="AL1923" s="162"/>
      <c r="AM1923" s="162">
        <v>3</v>
      </c>
      <c r="AN1923" s="162"/>
      <c r="AO1923" s="162"/>
      <c r="AP1923" s="162"/>
      <c r="AQ1923" s="162"/>
      <c r="AR1923" s="162"/>
      <c r="AS1923" s="162">
        <v>3</v>
      </c>
      <c r="AT1923" s="162">
        <v>1</v>
      </c>
      <c r="AU1923" s="162">
        <v>1</v>
      </c>
      <c r="AV1923" s="162"/>
      <c r="AW1923" s="162"/>
      <c r="AX1923" s="162"/>
      <c r="AY1923" s="162"/>
      <c r="AZ1923" s="162">
        <v>1</v>
      </c>
      <c r="BA1923" s="162">
        <v>1</v>
      </c>
      <c r="BB1923" s="162">
        <v>1</v>
      </c>
      <c r="BC1923" s="162">
        <v>1</v>
      </c>
      <c r="BD1923" s="162">
        <v>1</v>
      </c>
      <c r="BE1923" s="162">
        <v>1</v>
      </c>
      <c r="BF1923" s="162"/>
      <c r="BG1923" s="162"/>
      <c r="BH1923" s="162"/>
      <c r="BI1923" s="162"/>
      <c r="BJ1923" s="162">
        <v>1</v>
      </c>
      <c r="BK1923" s="162"/>
      <c r="BL1923" s="162"/>
      <c r="BM1923" s="162"/>
      <c r="BN1923" s="162"/>
    </row>
    <row r="1924" spans="1:66" x14ac:dyDescent="0.2">
      <c r="A1924" s="57">
        <v>1221</v>
      </c>
      <c r="B1924" s="162" t="s">
        <v>3655</v>
      </c>
      <c r="C1924" s="195">
        <v>44575.504837962966</v>
      </c>
      <c r="D1924" s="55">
        <v>260</v>
      </c>
      <c r="I1924" s="46" t="s">
        <v>839</v>
      </c>
      <c r="J1924" s="162">
        <v>1</v>
      </c>
      <c r="K1924" s="162">
        <v>1</v>
      </c>
      <c r="L1924" s="162"/>
      <c r="M1924" s="162"/>
      <c r="N1924" s="162"/>
      <c r="O1924" s="162">
        <v>1</v>
      </c>
      <c r="P1924" s="162"/>
      <c r="Q1924" s="162"/>
      <c r="R1924" s="162"/>
      <c r="S1924" s="162">
        <v>1</v>
      </c>
      <c r="T1924" s="162"/>
      <c r="U1924" s="162"/>
      <c r="V1924" s="162"/>
      <c r="W1924" s="162">
        <v>1</v>
      </c>
      <c r="X1924" s="162"/>
      <c r="Y1924" s="162"/>
      <c r="Z1924" s="162"/>
      <c r="AA1924" s="162">
        <v>2</v>
      </c>
      <c r="AB1924" s="162"/>
      <c r="AC1924" s="162"/>
      <c r="AD1924" s="162"/>
      <c r="AE1924" s="162"/>
      <c r="AF1924" s="162"/>
      <c r="AG1924" s="162">
        <v>2</v>
      </c>
      <c r="AH1924" s="162"/>
      <c r="AI1924" s="162"/>
      <c r="AJ1924" s="162"/>
      <c r="AK1924" s="162"/>
      <c r="AL1924" s="162"/>
      <c r="AM1924" s="162">
        <v>4</v>
      </c>
      <c r="AN1924" s="162"/>
      <c r="AO1924" s="162"/>
      <c r="AP1924" s="162"/>
      <c r="AQ1924" s="162"/>
      <c r="AR1924" s="162"/>
      <c r="AS1924" s="162">
        <v>4</v>
      </c>
      <c r="AT1924" s="162">
        <v>2</v>
      </c>
      <c r="AU1924" s="162">
        <v>1</v>
      </c>
      <c r="AV1924" s="162"/>
      <c r="AW1924" s="162"/>
      <c r="AX1924" s="162"/>
      <c r="AY1924" s="162"/>
      <c r="AZ1924" s="162">
        <v>1</v>
      </c>
      <c r="BA1924" s="162">
        <v>1</v>
      </c>
      <c r="BB1924" s="162">
        <v>3</v>
      </c>
      <c r="BC1924" s="162">
        <v>3</v>
      </c>
      <c r="BD1924" s="162">
        <v>3</v>
      </c>
      <c r="BE1924" s="162">
        <v>2</v>
      </c>
      <c r="BF1924" s="162"/>
      <c r="BG1924" s="162"/>
      <c r="BH1924" s="162"/>
      <c r="BI1924" s="162"/>
      <c r="BJ1924" s="162">
        <v>1</v>
      </c>
      <c r="BK1924" s="162"/>
      <c r="BL1924" s="162"/>
      <c r="BM1924" s="162"/>
      <c r="BN1924" s="162"/>
    </row>
    <row r="1925" spans="1:66" x14ac:dyDescent="0.2">
      <c r="A1925" s="57">
        <v>1221</v>
      </c>
      <c r="B1925" s="162" t="s">
        <v>3655</v>
      </c>
      <c r="C1925" s="195">
        <v>44570.606516203705</v>
      </c>
      <c r="D1925" s="55">
        <v>260</v>
      </c>
      <c r="I1925" s="46" t="s">
        <v>839</v>
      </c>
      <c r="J1925" s="162">
        <v>2</v>
      </c>
      <c r="K1925" s="162">
        <v>3</v>
      </c>
      <c r="L1925" s="162">
        <v>3</v>
      </c>
      <c r="M1925" s="162">
        <v>2</v>
      </c>
      <c r="N1925" s="162">
        <v>2</v>
      </c>
      <c r="O1925" s="162">
        <v>1</v>
      </c>
      <c r="P1925" s="162"/>
      <c r="Q1925" s="162"/>
      <c r="R1925" s="162"/>
      <c r="S1925" s="162">
        <v>2</v>
      </c>
      <c r="T1925" s="162"/>
      <c r="U1925" s="162"/>
      <c r="V1925" s="162"/>
      <c r="W1925" s="162">
        <v>2</v>
      </c>
      <c r="X1925" s="162"/>
      <c r="Y1925" s="162"/>
      <c r="Z1925" s="162"/>
      <c r="AA1925" s="162">
        <v>3</v>
      </c>
      <c r="AB1925" s="162">
        <v>1</v>
      </c>
      <c r="AC1925" s="162">
        <v>1</v>
      </c>
      <c r="AD1925" s="162">
        <v>2</v>
      </c>
      <c r="AE1925" s="162">
        <v>3</v>
      </c>
      <c r="AF1925" s="162">
        <v>3</v>
      </c>
      <c r="AG1925" s="162">
        <v>4</v>
      </c>
      <c r="AH1925" s="162">
        <v>1</v>
      </c>
      <c r="AI1925" s="162">
        <v>2</v>
      </c>
      <c r="AJ1925" s="162">
        <v>1</v>
      </c>
      <c r="AK1925" s="162">
        <v>1</v>
      </c>
      <c r="AL1925" s="162">
        <v>2</v>
      </c>
      <c r="AM1925" s="162">
        <v>4</v>
      </c>
      <c r="AN1925" s="162"/>
      <c r="AO1925" s="162"/>
      <c r="AP1925" s="162"/>
      <c r="AQ1925" s="162"/>
      <c r="AR1925" s="162"/>
      <c r="AS1925" s="162">
        <v>4</v>
      </c>
      <c r="AT1925" s="162">
        <v>2</v>
      </c>
      <c r="AU1925" s="162">
        <v>1</v>
      </c>
      <c r="AV1925" s="162"/>
      <c r="AW1925" s="162"/>
      <c r="AX1925" s="162"/>
      <c r="AY1925" s="162"/>
      <c r="AZ1925" s="162">
        <v>1</v>
      </c>
      <c r="BA1925" s="162">
        <v>1</v>
      </c>
      <c r="BB1925" s="162">
        <v>1</v>
      </c>
      <c r="BC1925" s="162">
        <v>1</v>
      </c>
      <c r="BD1925" s="162">
        <v>1</v>
      </c>
      <c r="BE1925" s="162">
        <v>4</v>
      </c>
      <c r="BF1925" s="162">
        <v>2</v>
      </c>
      <c r="BG1925" s="162">
        <v>2</v>
      </c>
      <c r="BH1925" s="162">
        <v>2</v>
      </c>
      <c r="BI1925" s="162">
        <v>1</v>
      </c>
      <c r="BJ1925" s="162">
        <v>2</v>
      </c>
      <c r="BK1925" s="162"/>
      <c r="BL1925" s="162"/>
      <c r="BM1925" s="162"/>
      <c r="BN1925" s="162"/>
    </row>
    <row r="1926" spans="1:66" x14ac:dyDescent="0.2">
      <c r="A1926" s="57">
        <v>1221</v>
      </c>
      <c r="B1926" s="162" t="s">
        <v>3655</v>
      </c>
      <c r="C1926" s="195">
        <v>44570.606990740744</v>
      </c>
      <c r="D1926" s="55">
        <v>260</v>
      </c>
      <c r="I1926" s="46" t="s">
        <v>839</v>
      </c>
      <c r="J1926" s="162">
        <v>1</v>
      </c>
      <c r="K1926" s="162">
        <v>1</v>
      </c>
      <c r="L1926" s="162"/>
      <c r="M1926" s="162"/>
      <c r="N1926" s="162"/>
      <c r="O1926" s="162">
        <v>1</v>
      </c>
      <c r="P1926" s="162"/>
      <c r="Q1926" s="162"/>
      <c r="R1926" s="162"/>
      <c r="S1926" s="162">
        <v>1</v>
      </c>
      <c r="T1926" s="162"/>
      <c r="U1926" s="162"/>
      <c r="V1926" s="162"/>
      <c r="W1926" s="162">
        <v>2</v>
      </c>
      <c r="X1926" s="162"/>
      <c r="Y1926" s="162"/>
      <c r="Z1926" s="162"/>
      <c r="AA1926" s="162">
        <v>2</v>
      </c>
      <c r="AB1926" s="162"/>
      <c r="AC1926" s="162"/>
      <c r="AD1926" s="162"/>
      <c r="AE1926" s="162"/>
      <c r="AF1926" s="162"/>
      <c r="AG1926" s="162">
        <v>3</v>
      </c>
      <c r="AH1926" s="162">
        <v>1</v>
      </c>
      <c r="AI1926" s="162">
        <v>1</v>
      </c>
      <c r="AJ1926" s="162">
        <v>1</v>
      </c>
      <c r="AK1926" s="162">
        <v>1</v>
      </c>
      <c r="AL1926" s="162">
        <v>2</v>
      </c>
      <c r="AM1926" s="162">
        <v>4</v>
      </c>
      <c r="AN1926" s="162"/>
      <c r="AO1926" s="162"/>
      <c r="AP1926" s="162"/>
      <c r="AQ1926" s="162"/>
      <c r="AR1926" s="162"/>
      <c r="AS1926" s="162">
        <v>4</v>
      </c>
      <c r="AT1926" s="162">
        <v>2</v>
      </c>
      <c r="AU1926" s="162">
        <v>1</v>
      </c>
      <c r="AV1926" s="162"/>
      <c r="AW1926" s="162"/>
      <c r="AX1926" s="162"/>
      <c r="AY1926" s="162"/>
      <c r="AZ1926" s="162">
        <v>1</v>
      </c>
      <c r="BA1926" s="162">
        <v>1</v>
      </c>
      <c r="BB1926" s="162">
        <v>1</v>
      </c>
      <c r="BC1926" s="162">
        <v>1</v>
      </c>
      <c r="BD1926" s="162">
        <v>1</v>
      </c>
      <c r="BE1926" s="162">
        <v>2</v>
      </c>
      <c r="BF1926" s="162"/>
      <c r="BG1926" s="162"/>
      <c r="BH1926" s="162"/>
      <c r="BI1926" s="162"/>
      <c r="BJ1926" s="162">
        <v>2</v>
      </c>
      <c r="BK1926" s="162"/>
      <c r="BL1926" s="162"/>
      <c r="BM1926" s="162"/>
      <c r="BN1926" s="162"/>
    </row>
    <row r="1927" spans="1:66" x14ac:dyDescent="0.2">
      <c r="A1927" s="57">
        <v>1221</v>
      </c>
      <c r="B1927" s="162" t="s">
        <v>3655</v>
      </c>
      <c r="C1927" s="195">
        <v>44501.534201388888</v>
      </c>
      <c r="D1927" s="55">
        <v>260</v>
      </c>
      <c r="I1927" s="46" t="s">
        <v>839</v>
      </c>
      <c r="J1927" s="162">
        <v>1</v>
      </c>
      <c r="K1927" s="162">
        <v>1</v>
      </c>
      <c r="L1927" s="162"/>
      <c r="M1927" s="162"/>
      <c r="N1927" s="162"/>
      <c r="O1927" s="162">
        <v>1</v>
      </c>
      <c r="P1927" s="162"/>
      <c r="Q1927" s="162"/>
      <c r="R1927" s="162"/>
      <c r="S1927" s="162">
        <v>1</v>
      </c>
      <c r="T1927" s="162"/>
      <c r="U1927" s="162"/>
      <c r="V1927" s="162"/>
      <c r="W1927" s="162">
        <v>1</v>
      </c>
      <c r="X1927" s="162"/>
      <c r="Y1927" s="162"/>
      <c r="Z1927" s="162"/>
      <c r="AA1927" s="162">
        <v>1</v>
      </c>
      <c r="AB1927" s="162"/>
      <c r="AC1927" s="162"/>
      <c r="AD1927" s="162"/>
      <c r="AE1927" s="162"/>
      <c r="AF1927" s="162"/>
      <c r="AG1927" s="162">
        <v>1</v>
      </c>
      <c r="AH1927" s="162"/>
      <c r="AI1927" s="162"/>
      <c r="AJ1927" s="162"/>
      <c r="AK1927" s="162"/>
      <c r="AL1927" s="162"/>
      <c r="AM1927" s="162">
        <v>3</v>
      </c>
      <c r="AN1927" s="162"/>
      <c r="AO1927" s="162"/>
      <c r="AP1927" s="162"/>
      <c r="AQ1927" s="162"/>
      <c r="AR1927" s="162"/>
      <c r="AS1927" s="162">
        <v>1</v>
      </c>
      <c r="AT1927" s="162">
        <v>5</v>
      </c>
      <c r="AU1927" s="162">
        <v>5</v>
      </c>
      <c r="AV1927" s="162"/>
      <c r="AW1927" s="162"/>
      <c r="AX1927" s="162"/>
      <c r="AY1927" s="162"/>
      <c r="AZ1927" s="162">
        <v>5</v>
      </c>
      <c r="BA1927" s="162">
        <v>4</v>
      </c>
      <c r="BB1927" s="162">
        <v>4</v>
      </c>
      <c r="BC1927" s="162">
        <v>4</v>
      </c>
      <c r="BD1927" s="162">
        <v>4</v>
      </c>
      <c r="BE1927" s="162">
        <v>5</v>
      </c>
      <c r="BF1927" s="162"/>
      <c r="BG1927" s="162"/>
      <c r="BH1927" s="162"/>
      <c r="BI1927" s="162"/>
      <c r="BJ1927" s="162">
        <v>5</v>
      </c>
      <c r="BK1927" s="162"/>
      <c r="BL1927" s="162"/>
      <c r="BM1927" s="162"/>
      <c r="BN1927" s="162"/>
    </row>
    <row r="1928" spans="1:66" x14ac:dyDescent="0.2">
      <c r="A1928" s="57">
        <v>1221</v>
      </c>
      <c r="B1928" s="162" t="s">
        <v>3655</v>
      </c>
      <c r="C1928" s="195">
        <v>44567.329733796294</v>
      </c>
      <c r="D1928" s="55">
        <v>260</v>
      </c>
      <c r="I1928" s="46" t="s">
        <v>839</v>
      </c>
      <c r="J1928" s="162">
        <v>1</v>
      </c>
      <c r="K1928" s="162">
        <v>1</v>
      </c>
      <c r="L1928" s="162"/>
      <c r="M1928" s="162"/>
      <c r="N1928" s="162"/>
      <c r="O1928" s="162">
        <v>1</v>
      </c>
      <c r="P1928" s="162"/>
      <c r="Q1928" s="162"/>
      <c r="R1928" s="162"/>
      <c r="S1928" s="162">
        <v>1</v>
      </c>
      <c r="T1928" s="162"/>
      <c r="U1928" s="162"/>
      <c r="V1928" s="162"/>
      <c r="W1928" s="162">
        <v>1</v>
      </c>
      <c r="X1928" s="162"/>
      <c r="Y1928" s="162"/>
      <c r="Z1928" s="162"/>
      <c r="AA1928" s="162">
        <v>2</v>
      </c>
      <c r="AB1928" s="162"/>
      <c r="AC1928" s="162"/>
      <c r="AD1928" s="162"/>
      <c r="AE1928" s="162"/>
      <c r="AF1928" s="162"/>
      <c r="AG1928" s="162">
        <v>1</v>
      </c>
      <c r="AH1928" s="162"/>
      <c r="AI1928" s="162"/>
      <c r="AJ1928" s="162"/>
      <c r="AK1928" s="162"/>
      <c r="AL1928" s="162"/>
      <c r="AM1928" s="162">
        <v>2</v>
      </c>
      <c r="AN1928" s="162">
        <v>1</v>
      </c>
      <c r="AO1928" s="162">
        <v>1</v>
      </c>
      <c r="AP1928" s="162">
        <v>1</v>
      </c>
      <c r="AQ1928" s="162">
        <v>3</v>
      </c>
      <c r="AR1928" s="162">
        <v>2</v>
      </c>
      <c r="AS1928" s="162">
        <v>4</v>
      </c>
      <c r="AT1928" s="162">
        <v>1</v>
      </c>
      <c r="AU1928" s="162">
        <v>2</v>
      </c>
      <c r="AV1928" s="162"/>
      <c r="AW1928" s="162"/>
      <c r="AX1928" s="162"/>
      <c r="AY1928" s="162"/>
      <c r="AZ1928" s="162">
        <v>1</v>
      </c>
      <c r="BA1928" s="162">
        <v>1</v>
      </c>
      <c r="BB1928" s="162">
        <v>1</v>
      </c>
      <c r="BC1928" s="162">
        <v>1</v>
      </c>
      <c r="BD1928" s="162">
        <v>1</v>
      </c>
      <c r="BE1928" s="162">
        <v>2</v>
      </c>
      <c r="BF1928" s="162"/>
      <c r="BG1928" s="162"/>
      <c r="BH1928" s="162"/>
      <c r="BI1928" s="162"/>
      <c r="BJ1928" s="162">
        <v>2</v>
      </c>
      <c r="BK1928" s="162"/>
      <c r="BL1928" s="162"/>
      <c r="BM1928" s="162"/>
      <c r="BN1928" s="162"/>
    </row>
    <row r="1929" spans="1:66" x14ac:dyDescent="0.2">
      <c r="A1929" s="57">
        <v>1221</v>
      </c>
      <c r="B1929" s="162" t="s">
        <v>3655</v>
      </c>
      <c r="C1929" s="195">
        <v>44565.764652777776</v>
      </c>
      <c r="D1929" s="55">
        <v>260</v>
      </c>
      <c r="I1929" s="46" t="s">
        <v>839</v>
      </c>
      <c r="J1929" s="162">
        <v>1</v>
      </c>
      <c r="K1929" s="162">
        <v>1</v>
      </c>
      <c r="L1929" s="162"/>
      <c r="M1929" s="162"/>
      <c r="N1929" s="162"/>
      <c r="O1929" s="162">
        <v>1</v>
      </c>
      <c r="P1929" s="162"/>
      <c r="Q1929" s="162"/>
      <c r="R1929" s="162"/>
      <c r="S1929" s="162">
        <v>1</v>
      </c>
      <c r="T1929" s="162"/>
      <c r="U1929" s="162"/>
      <c r="V1929" s="162"/>
      <c r="W1929" s="162">
        <v>1</v>
      </c>
      <c r="X1929" s="162"/>
      <c r="Y1929" s="162"/>
      <c r="Z1929" s="162"/>
      <c r="AA1929" s="162">
        <v>1</v>
      </c>
      <c r="AB1929" s="162"/>
      <c r="AC1929" s="162"/>
      <c r="AD1929" s="162"/>
      <c r="AE1929" s="162"/>
      <c r="AF1929" s="162"/>
      <c r="AG1929" s="162">
        <v>1</v>
      </c>
      <c r="AH1929" s="162"/>
      <c r="AI1929" s="162"/>
      <c r="AJ1929" s="162"/>
      <c r="AK1929" s="162"/>
      <c r="AL1929" s="162"/>
      <c r="AM1929" s="162">
        <v>1</v>
      </c>
      <c r="AN1929" s="162">
        <v>3</v>
      </c>
      <c r="AO1929" s="162">
        <v>3</v>
      </c>
      <c r="AP1929" s="162">
        <v>1</v>
      </c>
      <c r="AQ1929" s="162">
        <v>2</v>
      </c>
      <c r="AR1929" s="162">
        <v>2</v>
      </c>
      <c r="AS1929" s="162">
        <v>1</v>
      </c>
      <c r="AT1929" s="162">
        <v>1</v>
      </c>
      <c r="AU1929" s="162">
        <v>1</v>
      </c>
      <c r="AV1929" s="162"/>
      <c r="AW1929" s="162"/>
      <c r="AX1929" s="162"/>
      <c r="AY1929" s="162"/>
      <c r="AZ1929" s="162">
        <v>1</v>
      </c>
      <c r="BA1929" s="162">
        <v>1</v>
      </c>
      <c r="BB1929" s="162">
        <v>1</v>
      </c>
      <c r="BC1929" s="162">
        <v>1</v>
      </c>
      <c r="BD1929" s="162">
        <v>1</v>
      </c>
      <c r="BE1929" s="162">
        <v>1</v>
      </c>
      <c r="BF1929" s="162"/>
      <c r="BG1929" s="162"/>
      <c r="BH1929" s="162"/>
      <c r="BI1929" s="162"/>
      <c r="BJ1929" s="162">
        <v>1</v>
      </c>
      <c r="BK1929" s="162"/>
      <c r="BL1929" s="162"/>
      <c r="BM1929" s="162"/>
      <c r="BN1929" s="162"/>
    </row>
    <row r="1930" spans="1:66" x14ac:dyDescent="0.2">
      <c r="A1930" s="57">
        <v>1221</v>
      </c>
      <c r="B1930" s="162" t="s">
        <v>3655</v>
      </c>
      <c r="C1930" s="195">
        <v>44565.63685185185</v>
      </c>
      <c r="D1930" s="55">
        <v>260</v>
      </c>
      <c r="I1930" s="46" t="s">
        <v>839</v>
      </c>
      <c r="J1930" s="162">
        <v>3</v>
      </c>
      <c r="K1930" s="162">
        <v>2</v>
      </c>
      <c r="L1930" s="162"/>
      <c r="M1930" s="162"/>
      <c r="N1930" s="162"/>
      <c r="O1930" s="162">
        <v>4</v>
      </c>
      <c r="P1930" s="162">
        <v>2</v>
      </c>
      <c r="Q1930" s="162">
        <v>2</v>
      </c>
      <c r="R1930" s="162">
        <v>2</v>
      </c>
      <c r="S1930" s="162">
        <v>3</v>
      </c>
      <c r="T1930" s="162">
        <v>2</v>
      </c>
      <c r="U1930" s="162">
        <v>2</v>
      </c>
      <c r="V1930" s="162">
        <v>3</v>
      </c>
      <c r="W1930" s="162">
        <v>3</v>
      </c>
      <c r="X1930" s="162">
        <v>2</v>
      </c>
      <c r="Y1930" s="162">
        <v>2</v>
      </c>
      <c r="Z1930" s="162">
        <v>2</v>
      </c>
      <c r="AA1930" s="162">
        <v>3</v>
      </c>
      <c r="AB1930" s="162">
        <v>2</v>
      </c>
      <c r="AC1930" s="162">
        <v>2</v>
      </c>
      <c r="AD1930" s="162">
        <v>2</v>
      </c>
      <c r="AE1930" s="162">
        <v>1</v>
      </c>
      <c r="AF1930" s="162">
        <v>2</v>
      </c>
      <c r="AG1930" s="162">
        <v>3</v>
      </c>
      <c r="AH1930" s="162">
        <v>2</v>
      </c>
      <c r="AI1930" s="162">
        <v>1</v>
      </c>
      <c r="AJ1930" s="162">
        <v>2</v>
      </c>
      <c r="AK1930" s="162">
        <v>2</v>
      </c>
      <c r="AL1930" s="162">
        <v>2</v>
      </c>
      <c r="AM1930" s="162">
        <v>4</v>
      </c>
      <c r="AN1930" s="162"/>
      <c r="AO1930" s="162"/>
      <c r="AP1930" s="162"/>
      <c r="AQ1930" s="162"/>
      <c r="AR1930" s="162"/>
      <c r="AS1930" s="162">
        <v>4</v>
      </c>
      <c r="AT1930" s="162">
        <v>4</v>
      </c>
      <c r="AU1930" s="162">
        <v>2</v>
      </c>
      <c r="AV1930" s="162"/>
      <c r="AW1930" s="162"/>
      <c r="AX1930" s="162"/>
      <c r="AY1930" s="162"/>
      <c r="AZ1930" s="162">
        <v>2</v>
      </c>
      <c r="BA1930" s="162">
        <v>1</v>
      </c>
      <c r="BB1930" s="162">
        <v>1</v>
      </c>
      <c r="BC1930" s="162">
        <v>1</v>
      </c>
      <c r="BD1930" s="162">
        <v>1</v>
      </c>
      <c r="BE1930" s="162">
        <v>3</v>
      </c>
      <c r="BF1930" s="162">
        <v>2</v>
      </c>
      <c r="BG1930" s="162">
        <v>2</v>
      </c>
      <c r="BH1930" s="162">
        <v>2</v>
      </c>
      <c r="BI1930" s="162">
        <v>1</v>
      </c>
      <c r="BJ1930" s="162">
        <v>2</v>
      </c>
      <c r="BK1930" s="162"/>
      <c r="BL1930" s="162"/>
      <c r="BM1930" s="162"/>
      <c r="BN1930" s="162"/>
    </row>
    <row r="1931" spans="1:66" x14ac:dyDescent="0.2">
      <c r="A1931" s="57">
        <v>1221</v>
      </c>
      <c r="B1931" s="162" t="s">
        <v>3655</v>
      </c>
      <c r="C1931" s="195">
        <v>44564.880312499998</v>
      </c>
      <c r="D1931" s="55">
        <v>260</v>
      </c>
      <c r="I1931" s="46" t="s">
        <v>839</v>
      </c>
      <c r="J1931" s="162">
        <v>1</v>
      </c>
      <c r="K1931" s="162">
        <v>1</v>
      </c>
      <c r="L1931" s="162"/>
      <c r="M1931" s="162"/>
      <c r="N1931" s="162"/>
      <c r="O1931" s="162">
        <v>2</v>
      </c>
      <c r="P1931" s="162"/>
      <c r="Q1931" s="162"/>
      <c r="R1931" s="162"/>
      <c r="S1931" s="162">
        <v>1</v>
      </c>
      <c r="T1931" s="162"/>
      <c r="U1931" s="162"/>
      <c r="V1931" s="162"/>
      <c r="W1931" s="162">
        <v>1</v>
      </c>
      <c r="X1931" s="162"/>
      <c r="Y1931" s="162"/>
      <c r="Z1931" s="162"/>
      <c r="AA1931" s="162">
        <v>2</v>
      </c>
      <c r="AB1931" s="162"/>
      <c r="AC1931" s="162"/>
      <c r="AD1931" s="162"/>
      <c r="AE1931" s="162"/>
      <c r="AF1931" s="162"/>
      <c r="AG1931" s="162">
        <v>1</v>
      </c>
      <c r="AH1931" s="162"/>
      <c r="AI1931" s="162"/>
      <c r="AJ1931" s="162"/>
      <c r="AK1931" s="162"/>
      <c r="AL1931" s="162"/>
      <c r="AM1931" s="162">
        <v>3</v>
      </c>
      <c r="AN1931" s="162"/>
      <c r="AO1931" s="162"/>
      <c r="AP1931" s="162"/>
      <c r="AQ1931" s="162"/>
      <c r="AR1931" s="162"/>
      <c r="AS1931" s="162">
        <v>3</v>
      </c>
      <c r="AT1931" s="162">
        <v>1</v>
      </c>
      <c r="AU1931" s="162">
        <v>2</v>
      </c>
      <c r="AV1931" s="162"/>
      <c r="AW1931" s="162"/>
      <c r="AX1931" s="162"/>
      <c r="AY1931" s="162"/>
      <c r="AZ1931" s="162">
        <v>1</v>
      </c>
      <c r="BA1931" s="162">
        <v>1</v>
      </c>
      <c r="BB1931" s="162">
        <v>3</v>
      </c>
      <c r="BC1931" s="162">
        <v>1</v>
      </c>
      <c r="BD1931" s="162">
        <v>1</v>
      </c>
      <c r="BE1931" s="162">
        <v>2</v>
      </c>
      <c r="BF1931" s="162"/>
      <c r="BG1931" s="162"/>
      <c r="BH1931" s="162"/>
      <c r="BI1931" s="162"/>
      <c r="BJ1931" s="162">
        <v>1</v>
      </c>
      <c r="BK1931" s="162"/>
      <c r="BL1931" s="162"/>
      <c r="BM1931" s="162"/>
      <c r="BN1931" s="162"/>
    </row>
    <row r="1932" spans="1:66" x14ac:dyDescent="0.2">
      <c r="A1932" s="57">
        <v>1221</v>
      </c>
      <c r="B1932" s="162" t="s">
        <v>3655</v>
      </c>
      <c r="C1932" s="195">
        <v>44564.485775462963</v>
      </c>
      <c r="D1932" s="55">
        <v>260</v>
      </c>
      <c r="I1932" s="46" t="s">
        <v>839</v>
      </c>
      <c r="J1932" s="162">
        <v>1</v>
      </c>
      <c r="K1932" s="162">
        <v>1</v>
      </c>
      <c r="L1932" s="162"/>
      <c r="M1932" s="162"/>
      <c r="N1932" s="162"/>
      <c r="O1932" s="162">
        <v>1</v>
      </c>
      <c r="P1932" s="162"/>
      <c r="Q1932" s="162"/>
      <c r="R1932" s="162"/>
      <c r="S1932" s="162">
        <v>1</v>
      </c>
      <c r="T1932" s="162"/>
      <c r="U1932" s="162"/>
      <c r="V1932" s="162"/>
      <c r="W1932" s="162">
        <v>1</v>
      </c>
      <c r="X1932" s="162"/>
      <c r="Y1932" s="162"/>
      <c r="Z1932" s="162"/>
      <c r="AA1932" s="162">
        <v>1</v>
      </c>
      <c r="AB1932" s="162"/>
      <c r="AC1932" s="162"/>
      <c r="AD1932" s="162"/>
      <c r="AE1932" s="162"/>
      <c r="AF1932" s="162"/>
      <c r="AG1932" s="162">
        <v>1</v>
      </c>
      <c r="AH1932" s="162"/>
      <c r="AI1932" s="162"/>
      <c r="AJ1932" s="162"/>
      <c r="AK1932" s="162"/>
      <c r="AL1932" s="162"/>
      <c r="AM1932" s="162">
        <v>1</v>
      </c>
      <c r="AN1932" s="162">
        <v>3</v>
      </c>
      <c r="AO1932" s="162">
        <v>3</v>
      </c>
      <c r="AP1932" s="162">
        <v>3</v>
      </c>
      <c r="AQ1932" s="162">
        <v>2</v>
      </c>
      <c r="AR1932" s="162">
        <v>2</v>
      </c>
      <c r="AS1932" s="162">
        <v>4</v>
      </c>
      <c r="AT1932" s="162">
        <v>1</v>
      </c>
      <c r="AU1932" s="162">
        <v>1</v>
      </c>
      <c r="AV1932" s="162"/>
      <c r="AW1932" s="162"/>
      <c r="AX1932" s="162"/>
      <c r="AY1932" s="162"/>
      <c r="AZ1932" s="162">
        <v>1</v>
      </c>
      <c r="BA1932" s="162">
        <v>1</v>
      </c>
      <c r="BB1932" s="162">
        <v>1</v>
      </c>
      <c r="BC1932" s="162">
        <v>1</v>
      </c>
      <c r="BD1932" s="162">
        <v>1</v>
      </c>
      <c r="BE1932" s="162">
        <v>1</v>
      </c>
      <c r="BF1932" s="162"/>
      <c r="BG1932" s="162"/>
      <c r="BH1932" s="162"/>
      <c r="BI1932" s="162"/>
      <c r="BJ1932" s="162">
        <v>1</v>
      </c>
      <c r="BK1932" s="162"/>
      <c r="BL1932" s="162"/>
      <c r="BM1932" s="162"/>
      <c r="BN1932" s="162"/>
    </row>
    <row r="1933" spans="1:66" x14ac:dyDescent="0.2">
      <c r="A1933" s="57">
        <v>1221</v>
      </c>
      <c r="B1933" s="162" t="s">
        <v>3655</v>
      </c>
      <c r="C1933" s="195">
        <v>44564.539826388886</v>
      </c>
      <c r="D1933" s="55">
        <v>260</v>
      </c>
      <c r="I1933" s="46" t="s">
        <v>839</v>
      </c>
      <c r="J1933" s="162">
        <v>2</v>
      </c>
      <c r="K1933" s="162">
        <v>2</v>
      </c>
      <c r="L1933" s="162"/>
      <c r="M1933" s="162"/>
      <c r="N1933" s="162"/>
      <c r="O1933" s="162">
        <v>3</v>
      </c>
      <c r="P1933" s="162">
        <v>2</v>
      </c>
      <c r="Q1933" s="162">
        <v>2</v>
      </c>
      <c r="R1933" s="162">
        <v>2</v>
      </c>
      <c r="S1933" s="162">
        <v>1</v>
      </c>
      <c r="T1933" s="162"/>
      <c r="U1933" s="162"/>
      <c r="V1933" s="162"/>
      <c r="W1933" s="162">
        <v>2</v>
      </c>
      <c r="X1933" s="162"/>
      <c r="Y1933" s="162"/>
      <c r="Z1933" s="162"/>
      <c r="AA1933" s="162">
        <v>4</v>
      </c>
      <c r="AB1933" s="162">
        <v>1</v>
      </c>
      <c r="AC1933" s="162">
        <v>2</v>
      </c>
      <c r="AD1933" s="162">
        <v>2</v>
      </c>
      <c r="AE1933" s="162">
        <v>2</v>
      </c>
      <c r="AF1933" s="162">
        <v>2</v>
      </c>
      <c r="AG1933" s="162">
        <v>4</v>
      </c>
      <c r="AH1933" s="162">
        <v>2</v>
      </c>
      <c r="AI1933" s="162">
        <v>1</v>
      </c>
      <c r="AJ1933" s="162">
        <v>2</v>
      </c>
      <c r="AK1933" s="162">
        <v>1</v>
      </c>
      <c r="AL1933" s="162">
        <v>2</v>
      </c>
      <c r="AM1933" s="162">
        <v>1</v>
      </c>
      <c r="AN1933" s="162">
        <v>1</v>
      </c>
      <c r="AO1933" s="162">
        <v>1</v>
      </c>
      <c r="AP1933" s="162">
        <v>2</v>
      </c>
      <c r="AQ1933" s="162">
        <v>2</v>
      </c>
      <c r="AR1933" s="162">
        <v>1</v>
      </c>
      <c r="AS1933" s="162">
        <v>4</v>
      </c>
      <c r="AT1933" s="162">
        <v>3</v>
      </c>
      <c r="AU1933" s="162">
        <v>2</v>
      </c>
      <c r="AV1933" s="162"/>
      <c r="AW1933" s="162"/>
      <c r="AX1933" s="162"/>
      <c r="AY1933" s="162"/>
      <c r="AZ1933" s="162">
        <v>2</v>
      </c>
      <c r="BA1933" s="162">
        <v>1</v>
      </c>
      <c r="BB1933" s="162">
        <v>1</v>
      </c>
      <c r="BC1933" s="162">
        <v>1</v>
      </c>
      <c r="BD1933" s="162">
        <v>1</v>
      </c>
      <c r="BE1933" s="162">
        <v>4</v>
      </c>
      <c r="BF1933" s="162">
        <v>2</v>
      </c>
      <c r="BG1933" s="162">
        <v>2</v>
      </c>
      <c r="BH1933" s="162">
        <v>2</v>
      </c>
      <c r="BI1933" s="162">
        <v>3</v>
      </c>
      <c r="BJ1933" s="162">
        <v>4</v>
      </c>
      <c r="BK1933" s="162">
        <v>3</v>
      </c>
      <c r="BL1933" s="162">
        <v>2</v>
      </c>
      <c r="BM1933" s="162">
        <v>1</v>
      </c>
      <c r="BN1933" s="162">
        <v>2</v>
      </c>
    </row>
    <row r="1934" spans="1:66" x14ac:dyDescent="0.2">
      <c r="A1934" s="57">
        <v>1221</v>
      </c>
      <c r="B1934" s="162" t="s">
        <v>3655</v>
      </c>
      <c r="C1934" s="195">
        <v>44564.53224537037</v>
      </c>
      <c r="D1934" s="55">
        <v>260</v>
      </c>
      <c r="I1934" s="46" t="s">
        <v>839</v>
      </c>
      <c r="J1934" s="162">
        <v>2</v>
      </c>
      <c r="K1934" s="162">
        <v>2</v>
      </c>
      <c r="L1934" s="162"/>
      <c r="M1934" s="162"/>
      <c r="N1934" s="162"/>
      <c r="O1934" s="162">
        <v>3</v>
      </c>
      <c r="P1934" s="162">
        <v>1</v>
      </c>
      <c r="Q1934" s="162">
        <v>2</v>
      </c>
      <c r="R1934" s="162">
        <v>3</v>
      </c>
      <c r="S1934" s="162">
        <v>2</v>
      </c>
      <c r="T1934" s="162"/>
      <c r="U1934" s="162"/>
      <c r="V1934" s="162"/>
      <c r="W1934" s="162">
        <v>2</v>
      </c>
      <c r="X1934" s="162"/>
      <c r="Y1934" s="162"/>
      <c r="Z1934" s="162"/>
      <c r="AA1934" s="162">
        <v>2</v>
      </c>
      <c r="AB1934" s="162"/>
      <c r="AC1934" s="162"/>
      <c r="AD1934" s="162"/>
      <c r="AE1934" s="162"/>
      <c r="AF1934" s="162"/>
      <c r="AG1934" s="162">
        <v>2</v>
      </c>
      <c r="AH1934" s="162"/>
      <c r="AI1934" s="162"/>
      <c r="AJ1934" s="162"/>
      <c r="AK1934" s="162"/>
      <c r="AL1934" s="162"/>
      <c r="AM1934" s="162">
        <v>4</v>
      </c>
      <c r="AN1934" s="162"/>
      <c r="AO1934" s="162"/>
      <c r="AP1934" s="162"/>
      <c r="AQ1934" s="162"/>
      <c r="AR1934" s="162"/>
      <c r="AS1934" s="162">
        <v>3</v>
      </c>
      <c r="AT1934" s="162">
        <v>3</v>
      </c>
      <c r="AU1934" s="162">
        <v>2</v>
      </c>
      <c r="AV1934" s="162"/>
      <c r="AW1934" s="162"/>
      <c r="AX1934" s="162"/>
      <c r="AY1934" s="162"/>
      <c r="AZ1934" s="162">
        <v>2</v>
      </c>
      <c r="BA1934" s="162">
        <v>1</v>
      </c>
      <c r="BB1934" s="162">
        <v>3</v>
      </c>
      <c r="BC1934" s="162">
        <v>2</v>
      </c>
      <c r="BD1934" s="162">
        <v>2</v>
      </c>
      <c r="BE1934" s="162">
        <v>2</v>
      </c>
      <c r="BF1934" s="162"/>
      <c r="BG1934" s="162"/>
      <c r="BH1934" s="162"/>
      <c r="BI1934" s="162"/>
      <c r="BJ1934" s="162">
        <v>2</v>
      </c>
      <c r="BK1934" s="162"/>
      <c r="BL1934" s="162"/>
      <c r="BM1934" s="162"/>
      <c r="BN1934" s="162"/>
    </row>
    <row r="1935" spans="1:66" x14ac:dyDescent="0.2">
      <c r="A1935" s="57">
        <v>1221</v>
      </c>
      <c r="B1935" s="162" t="s">
        <v>3655</v>
      </c>
      <c r="C1935" s="195">
        <v>44564.512395833335</v>
      </c>
      <c r="D1935" s="55">
        <v>260</v>
      </c>
      <c r="I1935" s="46" t="s">
        <v>839</v>
      </c>
      <c r="J1935" s="162">
        <v>1</v>
      </c>
      <c r="K1935" s="162">
        <v>1</v>
      </c>
      <c r="L1935" s="162"/>
      <c r="M1935" s="162"/>
      <c r="N1935" s="162"/>
      <c r="O1935" s="162">
        <v>1</v>
      </c>
      <c r="P1935" s="162"/>
      <c r="Q1935" s="162"/>
      <c r="R1935" s="162"/>
      <c r="S1935" s="162">
        <v>1</v>
      </c>
      <c r="T1935" s="162"/>
      <c r="U1935" s="162"/>
      <c r="V1935" s="162"/>
      <c r="W1935" s="162">
        <v>1</v>
      </c>
      <c r="X1935" s="162"/>
      <c r="Y1935" s="162"/>
      <c r="Z1935" s="162"/>
      <c r="AA1935" s="162">
        <v>1</v>
      </c>
      <c r="AB1935" s="162"/>
      <c r="AC1935" s="162"/>
      <c r="AD1935" s="162"/>
      <c r="AE1935" s="162"/>
      <c r="AF1935" s="162"/>
      <c r="AG1935" s="162">
        <v>1</v>
      </c>
      <c r="AH1935" s="162"/>
      <c r="AI1935" s="162"/>
      <c r="AJ1935" s="162"/>
      <c r="AK1935" s="162"/>
      <c r="AL1935" s="162"/>
      <c r="AM1935" s="162">
        <v>4</v>
      </c>
      <c r="AN1935" s="162"/>
      <c r="AO1935" s="162"/>
      <c r="AP1935" s="162"/>
      <c r="AQ1935" s="162"/>
      <c r="AR1935" s="162"/>
      <c r="AS1935" s="162">
        <v>4</v>
      </c>
      <c r="AT1935" s="162">
        <v>1</v>
      </c>
      <c r="AU1935" s="162">
        <v>1</v>
      </c>
      <c r="AV1935" s="162"/>
      <c r="AW1935" s="162"/>
      <c r="AX1935" s="162"/>
      <c r="AY1935" s="162"/>
      <c r="AZ1935" s="162">
        <v>1</v>
      </c>
      <c r="BA1935" s="162">
        <v>1</v>
      </c>
      <c r="BB1935" s="162">
        <v>1</v>
      </c>
      <c r="BC1935" s="162">
        <v>1</v>
      </c>
      <c r="BD1935" s="162">
        <v>1</v>
      </c>
      <c r="BE1935" s="162">
        <v>1</v>
      </c>
      <c r="BF1935" s="162"/>
      <c r="BG1935" s="162"/>
      <c r="BH1935" s="162"/>
      <c r="BI1935" s="162"/>
      <c r="BJ1935" s="162">
        <v>1</v>
      </c>
      <c r="BK1935" s="162"/>
      <c r="BL1935" s="162"/>
      <c r="BM1935" s="162"/>
      <c r="BN1935" s="162"/>
    </row>
    <row r="1936" spans="1:66" x14ac:dyDescent="0.2">
      <c r="A1936" s="57">
        <v>1221</v>
      </c>
      <c r="B1936" s="162" t="s">
        <v>3655</v>
      </c>
      <c r="C1936" s="195">
        <v>44564.502974537034</v>
      </c>
      <c r="D1936" s="55">
        <v>260</v>
      </c>
      <c r="I1936" s="46" t="s">
        <v>839</v>
      </c>
      <c r="J1936" s="162">
        <v>1</v>
      </c>
      <c r="K1936" s="162">
        <v>1</v>
      </c>
      <c r="L1936" s="162"/>
      <c r="M1936" s="162"/>
      <c r="N1936" s="162"/>
      <c r="O1936" s="162">
        <v>1</v>
      </c>
      <c r="P1936" s="162"/>
      <c r="Q1936" s="162"/>
      <c r="R1936" s="162"/>
      <c r="S1936" s="162">
        <v>1</v>
      </c>
      <c r="T1936" s="162"/>
      <c r="U1936" s="162"/>
      <c r="V1936" s="162"/>
      <c r="W1936" s="162">
        <v>1</v>
      </c>
      <c r="X1936" s="162"/>
      <c r="Y1936" s="162"/>
      <c r="Z1936" s="162"/>
      <c r="AA1936" s="162">
        <v>1</v>
      </c>
      <c r="AB1936" s="162"/>
      <c r="AC1936" s="162"/>
      <c r="AD1936" s="162"/>
      <c r="AE1936" s="162"/>
      <c r="AF1936" s="162"/>
      <c r="AG1936" s="162">
        <v>1</v>
      </c>
      <c r="AH1936" s="162"/>
      <c r="AI1936" s="162"/>
      <c r="AJ1936" s="162"/>
      <c r="AK1936" s="162"/>
      <c r="AL1936" s="162"/>
      <c r="AM1936" s="162">
        <v>4</v>
      </c>
      <c r="AN1936" s="162"/>
      <c r="AO1936" s="162"/>
      <c r="AP1936" s="162"/>
      <c r="AQ1936" s="162"/>
      <c r="AR1936" s="162"/>
      <c r="AS1936" s="162">
        <v>4</v>
      </c>
      <c r="AT1936" s="162">
        <v>1</v>
      </c>
      <c r="AU1936" s="162">
        <v>2</v>
      </c>
      <c r="AV1936" s="162"/>
      <c r="AW1936" s="162"/>
      <c r="AX1936" s="162"/>
      <c r="AY1936" s="162"/>
      <c r="AZ1936" s="162">
        <v>1</v>
      </c>
      <c r="BA1936" s="162">
        <v>1</v>
      </c>
      <c r="BB1936" s="162">
        <v>1</v>
      </c>
      <c r="BC1936" s="162">
        <v>1</v>
      </c>
      <c r="BD1936" s="162">
        <v>1</v>
      </c>
      <c r="BE1936" s="162">
        <v>1</v>
      </c>
      <c r="BF1936" s="162"/>
      <c r="BG1936" s="162"/>
      <c r="BH1936" s="162"/>
      <c r="BI1936" s="162"/>
      <c r="BJ1936" s="162">
        <v>1</v>
      </c>
      <c r="BK1936" s="162"/>
      <c r="BL1936" s="162"/>
      <c r="BM1936" s="162"/>
      <c r="BN1936" s="162"/>
    </row>
    <row r="1937" spans="1:67" x14ac:dyDescent="0.2">
      <c r="A1937" s="57">
        <v>1221</v>
      </c>
      <c r="B1937" s="162" t="s">
        <v>3655</v>
      </c>
      <c r="C1937" s="195">
        <v>44564.495879629627</v>
      </c>
      <c r="D1937" s="55">
        <v>260</v>
      </c>
      <c r="I1937" s="46" t="s">
        <v>839</v>
      </c>
      <c r="J1937" s="162">
        <v>2</v>
      </c>
      <c r="K1937" s="162">
        <v>1</v>
      </c>
      <c r="L1937" s="162"/>
      <c r="M1937" s="162"/>
      <c r="N1937" s="162"/>
      <c r="O1937" s="162">
        <v>2</v>
      </c>
      <c r="P1937" s="162"/>
      <c r="Q1937" s="162"/>
      <c r="R1937" s="162"/>
      <c r="S1937" s="162">
        <v>1</v>
      </c>
      <c r="T1937" s="162"/>
      <c r="U1937" s="162"/>
      <c r="V1937" s="162"/>
      <c r="W1937" s="162">
        <v>1</v>
      </c>
      <c r="X1937" s="162"/>
      <c r="Y1937" s="162"/>
      <c r="Z1937" s="162"/>
      <c r="AA1937" s="162">
        <v>3</v>
      </c>
      <c r="AB1937" s="162">
        <v>1</v>
      </c>
      <c r="AC1937" s="162">
        <v>1</v>
      </c>
      <c r="AD1937" s="162">
        <v>1</v>
      </c>
      <c r="AE1937" s="162">
        <v>1</v>
      </c>
      <c r="AF1937" s="162">
        <v>2</v>
      </c>
      <c r="AG1937" s="162">
        <v>3</v>
      </c>
      <c r="AH1937" s="162">
        <v>1</v>
      </c>
      <c r="AI1937" s="162">
        <v>2</v>
      </c>
      <c r="AJ1937" s="162">
        <v>3</v>
      </c>
      <c r="AK1937" s="162">
        <v>2</v>
      </c>
      <c r="AL1937" s="162">
        <v>1</v>
      </c>
      <c r="AM1937" s="162">
        <v>2</v>
      </c>
      <c r="AN1937" s="162">
        <v>3</v>
      </c>
      <c r="AO1937" s="162">
        <v>2</v>
      </c>
      <c r="AP1937" s="162">
        <v>3</v>
      </c>
      <c r="AQ1937" s="162">
        <v>3</v>
      </c>
      <c r="AR1937" s="162">
        <v>3</v>
      </c>
      <c r="AS1937" s="162">
        <v>2</v>
      </c>
      <c r="AT1937" s="162">
        <v>2</v>
      </c>
      <c r="AU1937" s="162">
        <v>2</v>
      </c>
      <c r="AV1937" s="162"/>
      <c r="AW1937" s="162"/>
      <c r="AX1937" s="162"/>
      <c r="AY1937" s="162"/>
      <c r="AZ1937" s="162">
        <v>1</v>
      </c>
      <c r="BA1937" s="162">
        <v>1</v>
      </c>
      <c r="BB1937" s="162">
        <v>1</v>
      </c>
      <c r="BC1937" s="162">
        <v>1</v>
      </c>
      <c r="BD1937" s="162">
        <v>1</v>
      </c>
      <c r="BE1937" s="162">
        <v>3</v>
      </c>
      <c r="BF1937" s="162">
        <v>2</v>
      </c>
      <c r="BG1937" s="162">
        <v>2</v>
      </c>
      <c r="BH1937" s="162">
        <v>3</v>
      </c>
      <c r="BI1937" s="162">
        <v>1</v>
      </c>
      <c r="BJ1937" s="162">
        <v>2</v>
      </c>
      <c r="BK1937" s="162"/>
      <c r="BL1937" s="162"/>
      <c r="BM1937" s="162"/>
      <c r="BN1937" s="162"/>
    </row>
    <row r="1938" spans="1:67" x14ac:dyDescent="0.2">
      <c r="A1938" s="57">
        <v>1221</v>
      </c>
      <c r="B1938" s="162" t="s">
        <v>3655</v>
      </c>
      <c r="C1938" s="195">
        <v>44564.417974537035</v>
      </c>
      <c r="D1938" s="55">
        <v>260</v>
      </c>
      <c r="I1938" s="46" t="s">
        <v>839</v>
      </c>
      <c r="J1938" s="162">
        <v>2</v>
      </c>
      <c r="K1938" s="162">
        <v>2</v>
      </c>
      <c r="L1938" s="162"/>
      <c r="M1938" s="162"/>
      <c r="N1938" s="162"/>
      <c r="O1938" s="162">
        <v>2</v>
      </c>
      <c r="P1938" s="162"/>
      <c r="Q1938" s="162"/>
      <c r="R1938" s="162"/>
      <c r="S1938" s="162">
        <v>2</v>
      </c>
      <c r="T1938" s="162"/>
      <c r="U1938" s="162"/>
      <c r="V1938" s="162"/>
      <c r="W1938" s="162">
        <v>2</v>
      </c>
      <c r="X1938" s="162"/>
      <c r="Y1938" s="162"/>
      <c r="Z1938" s="162"/>
      <c r="AA1938" s="162">
        <v>2</v>
      </c>
      <c r="AB1938" s="162"/>
      <c r="AC1938" s="162"/>
      <c r="AD1938" s="162"/>
      <c r="AE1938" s="162"/>
      <c r="AF1938" s="162"/>
      <c r="AG1938" s="162">
        <v>3</v>
      </c>
      <c r="AH1938" s="162">
        <v>1</v>
      </c>
      <c r="AI1938" s="162">
        <v>1</v>
      </c>
      <c r="AJ1938" s="162">
        <v>1</v>
      </c>
      <c r="AK1938" s="162">
        <v>1</v>
      </c>
      <c r="AL1938" s="162">
        <v>1</v>
      </c>
      <c r="AM1938" s="162">
        <v>4</v>
      </c>
      <c r="AN1938" s="162"/>
      <c r="AO1938" s="162"/>
      <c r="AP1938" s="162"/>
      <c r="AQ1938" s="162"/>
      <c r="AR1938" s="162"/>
      <c r="AS1938" s="162">
        <v>4</v>
      </c>
      <c r="AT1938" s="162">
        <v>2</v>
      </c>
      <c r="AU1938" s="162">
        <v>2</v>
      </c>
      <c r="AV1938" s="162"/>
      <c r="AW1938" s="162"/>
      <c r="AX1938" s="162"/>
      <c r="AY1938" s="162"/>
      <c r="AZ1938" s="162">
        <v>1</v>
      </c>
      <c r="BA1938" s="162">
        <v>1</v>
      </c>
      <c r="BB1938" s="162">
        <v>1</v>
      </c>
      <c r="BC1938" s="162">
        <v>1</v>
      </c>
      <c r="BD1938" s="162">
        <v>1</v>
      </c>
      <c r="BE1938" s="162">
        <v>1</v>
      </c>
      <c r="BF1938" s="162"/>
      <c r="BG1938" s="162"/>
      <c r="BH1938" s="162"/>
      <c r="BI1938" s="162"/>
      <c r="BJ1938" s="162">
        <v>1</v>
      </c>
      <c r="BK1938" s="162"/>
      <c r="BL1938" s="162"/>
      <c r="BM1938" s="162"/>
      <c r="BN1938" s="162"/>
    </row>
    <row r="1939" spans="1:67" x14ac:dyDescent="0.2">
      <c r="A1939" s="57">
        <v>1221</v>
      </c>
      <c r="B1939" s="162" t="s">
        <v>3655</v>
      </c>
      <c r="C1939" s="195">
        <v>44564.405150462961</v>
      </c>
      <c r="D1939" s="55">
        <v>260</v>
      </c>
      <c r="I1939" s="46" t="s">
        <v>839</v>
      </c>
      <c r="J1939" s="162">
        <v>1</v>
      </c>
      <c r="K1939" s="162">
        <v>1</v>
      </c>
      <c r="L1939" s="162"/>
      <c r="M1939" s="162"/>
      <c r="N1939" s="162"/>
      <c r="O1939" s="162">
        <v>1</v>
      </c>
      <c r="P1939" s="162"/>
      <c r="Q1939" s="162"/>
      <c r="R1939" s="162"/>
      <c r="S1939" s="162">
        <v>1</v>
      </c>
      <c r="T1939" s="162"/>
      <c r="U1939" s="162"/>
      <c r="V1939" s="162"/>
      <c r="W1939" s="162">
        <v>2</v>
      </c>
      <c r="X1939" s="162"/>
      <c r="Y1939" s="162"/>
      <c r="Z1939" s="162"/>
      <c r="AA1939" s="162">
        <v>1</v>
      </c>
      <c r="AB1939" s="162"/>
      <c r="AC1939" s="162"/>
      <c r="AD1939" s="162"/>
      <c r="AE1939" s="162"/>
      <c r="AF1939" s="162"/>
      <c r="AG1939" s="162">
        <v>2</v>
      </c>
      <c r="AH1939" s="162"/>
      <c r="AI1939" s="162"/>
      <c r="AJ1939" s="162"/>
      <c r="AK1939" s="162"/>
      <c r="AL1939" s="162"/>
      <c r="AM1939" s="162">
        <v>4</v>
      </c>
      <c r="AN1939" s="162"/>
      <c r="AO1939" s="162"/>
      <c r="AP1939" s="162"/>
      <c r="AQ1939" s="162"/>
      <c r="AR1939" s="162"/>
      <c r="AS1939" s="162">
        <v>4</v>
      </c>
      <c r="AT1939" s="162">
        <v>2</v>
      </c>
      <c r="AU1939" s="162">
        <v>2</v>
      </c>
      <c r="AV1939" s="162"/>
      <c r="AW1939" s="162"/>
      <c r="AX1939" s="162"/>
      <c r="AY1939" s="162"/>
      <c r="AZ1939" s="162">
        <v>2</v>
      </c>
      <c r="BA1939" s="162">
        <v>1</v>
      </c>
      <c r="BB1939" s="162">
        <v>1</v>
      </c>
      <c r="BC1939" s="162">
        <v>1</v>
      </c>
      <c r="BD1939" s="162">
        <v>1</v>
      </c>
      <c r="BE1939" s="162">
        <v>2</v>
      </c>
      <c r="BF1939" s="162"/>
      <c r="BG1939" s="162"/>
      <c r="BH1939" s="162"/>
      <c r="BI1939" s="162"/>
      <c r="BJ1939" s="162">
        <v>2</v>
      </c>
      <c r="BK1939" s="162"/>
      <c r="BL1939" s="162"/>
      <c r="BM1939" s="162"/>
      <c r="BN1939" s="162"/>
    </row>
    <row r="1940" spans="1:67" x14ac:dyDescent="0.2">
      <c r="A1940" s="57">
        <v>1221</v>
      </c>
      <c r="B1940" s="162" t="s">
        <v>3655</v>
      </c>
      <c r="C1940" s="195">
        <v>44564.402280092596</v>
      </c>
      <c r="D1940" s="55">
        <v>260</v>
      </c>
      <c r="I1940" s="46" t="s">
        <v>839</v>
      </c>
      <c r="J1940" s="162">
        <v>1</v>
      </c>
      <c r="K1940" s="162">
        <v>1</v>
      </c>
      <c r="L1940" s="162"/>
      <c r="M1940" s="162"/>
      <c r="N1940" s="162"/>
      <c r="O1940" s="162">
        <v>1</v>
      </c>
      <c r="P1940" s="162"/>
      <c r="Q1940" s="162"/>
      <c r="R1940" s="162"/>
      <c r="S1940" s="162">
        <v>1</v>
      </c>
      <c r="T1940" s="162"/>
      <c r="U1940" s="162"/>
      <c r="V1940" s="162"/>
      <c r="W1940" s="162">
        <v>1</v>
      </c>
      <c r="X1940" s="162"/>
      <c r="Y1940" s="162"/>
      <c r="Z1940" s="162"/>
      <c r="AA1940" s="162">
        <v>1</v>
      </c>
      <c r="AB1940" s="162"/>
      <c r="AC1940" s="162"/>
      <c r="AD1940" s="162"/>
      <c r="AE1940" s="162"/>
      <c r="AF1940" s="162"/>
      <c r="AG1940" s="162">
        <v>2</v>
      </c>
      <c r="AH1940" s="162"/>
      <c r="AI1940" s="162"/>
      <c r="AJ1940" s="162"/>
      <c r="AK1940" s="162"/>
      <c r="AL1940" s="162"/>
      <c r="AM1940" s="162">
        <v>2</v>
      </c>
      <c r="AN1940" s="162">
        <v>3</v>
      </c>
      <c r="AO1940" s="162">
        <v>3</v>
      </c>
      <c r="AP1940" s="162">
        <v>3</v>
      </c>
      <c r="AQ1940" s="162">
        <v>3</v>
      </c>
      <c r="AR1940" s="162">
        <v>3</v>
      </c>
      <c r="AS1940" s="162">
        <v>4</v>
      </c>
      <c r="AT1940" s="162">
        <v>1</v>
      </c>
      <c r="AU1940" s="162">
        <v>1</v>
      </c>
      <c r="AV1940" s="162"/>
      <c r="AW1940" s="162"/>
      <c r="AX1940" s="162"/>
      <c r="AY1940" s="162"/>
      <c r="AZ1940" s="162">
        <v>1</v>
      </c>
      <c r="BA1940" s="162">
        <v>1</v>
      </c>
      <c r="BB1940" s="162">
        <v>1</v>
      </c>
      <c r="BC1940" s="162">
        <v>1</v>
      </c>
      <c r="BD1940" s="162">
        <v>1</v>
      </c>
      <c r="BE1940" s="162">
        <v>2</v>
      </c>
      <c r="BF1940" s="162"/>
      <c r="BG1940" s="162"/>
      <c r="BH1940" s="162"/>
      <c r="BI1940" s="162"/>
      <c r="BJ1940" s="162">
        <v>2</v>
      </c>
      <c r="BK1940" s="162"/>
      <c r="BL1940" s="162"/>
      <c r="BM1940" s="162"/>
      <c r="BN1940" s="162"/>
    </row>
    <row r="1941" spans="1:67" x14ac:dyDescent="0.2">
      <c r="A1941" s="57">
        <v>1221</v>
      </c>
      <c r="B1941" s="162" t="s">
        <v>3655</v>
      </c>
      <c r="C1941" s="195">
        <v>44564.390381944446</v>
      </c>
      <c r="D1941" s="55">
        <v>260</v>
      </c>
      <c r="I1941" s="46" t="s">
        <v>839</v>
      </c>
      <c r="J1941" s="162">
        <v>1</v>
      </c>
      <c r="K1941" s="162">
        <v>1</v>
      </c>
      <c r="L1941" s="162"/>
      <c r="M1941" s="162"/>
      <c r="N1941" s="162"/>
      <c r="O1941" s="162">
        <v>1</v>
      </c>
      <c r="P1941" s="162"/>
      <c r="Q1941" s="162"/>
      <c r="R1941" s="162"/>
      <c r="S1941" s="162">
        <v>1</v>
      </c>
      <c r="T1941" s="162"/>
      <c r="U1941" s="162"/>
      <c r="V1941" s="162"/>
      <c r="W1941" s="162">
        <v>1</v>
      </c>
      <c r="X1941" s="162"/>
      <c r="Y1941" s="162"/>
      <c r="Z1941" s="162"/>
      <c r="AA1941" s="162">
        <v>1</v>
      </c>
      <c r="AB1941" s="162"/>
      <c r="AC1941" s="162"/>
      <c r="AD1941" s="162"/>
      <c r="AE1941" s="162"/>
      <c r="AF1941" s="162"/>
      <c r="AG1941" s="162">
        <v>1</v>
      </c>
      <c r="AH1941" s="162"/>
      <c r="AI1941" s="162"/>
      <c r="AJ1941" s="162"/>
      <c r="AK1941" s="162"/>
      <c r="AL1941" s="162"/>
      <c r="AM1941" s="162">
        <v>4</v>
      </c>
      <c r="AN1941" s="162"/>
      <c r="AO1941" s="162"/>
      <c r="AP1941" s="162"/>
      <c r="AQ1941" s="162"/>
      <c r="AR1941" s="162"/>
      <c r="AS1941" s="162">
        <v>4</v>
      </c>
      <c r="AT1941" s="162">
        <v>1</v>
      </c>
      <c r="AU1941" s="162">
        <v>1</v>
      </c>
      <c r="AV1941" s="162"/>
      <c r="AW1941" s="162"/>
      <c r="AX1941" s="162"/>
      <c r="AY1941" s="162"/>
      <c r="AZ1941" s="162">
        <v>1</v>
      </c>
      <c r="BA1941" s="162">
        <v>1</v>
      </c>
      <c r="BB1941" s="162">
        <v>1</v>
      </c>
      <c r="BC1941" s="162">
        <v>1</v>
      </c>
      <c r="BD1941" s="162">
        <v>1</v>
      </c>
      <c r="BE1941" s="162">
        <v>1</v>
      </c>
      <c r="BF1941" s="162"/>
      <c r="BG1941" s="162"/>
      <c r="BH1941" s="162"/>
      <c r="BI1941" s="162"/>
      <c r="BJ1941" s="162">
        <v>1</v>
      </c>
      <c r="BK1941" s="162"/>
      <c r="BL1941" s="162"/>
      <c r="BM1941" s="162"/>
      <c r="BN1941" s="162"/>
    </row>
    <row r="1942" spans="1:67" x14ac:dyDescent="0.2">
      <c r="A1942" s="57">
        <v>1221</v>
      </c>
      <c r="B1942" s="162" t="s">
        <v>3655</v>
      </c>
      <c r="C1942" s="195">
        <v>44564.376793981479</v>
      </c>
      <c r="D1942" s="55">
        <v>260</v>
      </c>
      <c r="I1942" s="46" t="s">
        <v>839</v>
      </c>
      <c r="J1942" s="162">
        <v>1</v>
      </c>
      <c r="K1942" s="162">
        <v>1</v>
      </c>
      <c r="L1942" s="162"/>
      <c r="M1942" s="162"/>
      <c r="N1942" s="162"/>
      <c r="O1942" s="162">
        <v>1</v>
      </c>
      <c r="P1942" s="162"/>
      <c r="Q1942" s="162"/>
      <c r="R1942" s="162"/>
      <c r="S1942" s="162">
        <v>1</v>
      </c>
      <c r="T1942" s="162"/>
      <c r="U1942" s="162"/>
      <c r="V1942" s="162"/>
      <c r="W1942" s="162">
        <v>1</v>
      </c>
      <c r="X1942" s="162"/>
      <c r="Y1942" s="162"/>
      <c r="Z1942" s="162"/>
      <c r="AA1942" s="162">
        <v>1</v>
      </c>
      <c r="AB1942" s="162"/>
      <c r="AC1942" s="162"/>
      <c r="AD1942" s="162"/>
      <c r="AE1942" s="162"/>
      <c r="AF1942" s="162"/>
      <c r="AG1942" s="162">
        <v>1</v>
      </c>
      <c r="AH1942" s="162"/>
      <c r="AI1942" s="162"/>
      <c r="AJ1942" s="162"/>
      <c r="AK1942" s="162"/>
      <c r="AL1942" s="162"/>
      <c r="AM1942" s="162">
        <v>1</v>
      </c>
      <c r="AN1942" s="162">
        <v>1</v>
      </c>
      <c r="AO1942" s="162">
        <v>3</v>
      </c>
      <c r="AP1942" s="162">
        <v>3</v>
      </c>
      <c r="AQ1942" s="162">
        <v>3</v>
      </c>
      <c r="AR1942" s="162">
        <v>3</v>
      </c>
      <c r="AS1942" s="162">
        <v>1</v>
      </c>
      <c r="AT1942" s="162">
        <v>1</v>
      </c>
      <c r="AU1942" s="162">
        <v>1</v>
      </c>
      <c r="AV1942" s="162"/>
      <c r="AW1942" s="162"/>
      <c r="AX1942" s="162"/>
      <c r="AY1942" s="162"/>
      <c r="AZ1942" s="162">
        <v>1</v>
      </c>
      <c r="BA1942" s="162">
        <v>1</v>
      </c>
      <c r="BB1942" s="162">
        <v>1</v>
      </c>
      <c r="BC1942" s="162">
        <v>1</v>
      </c>
      <c r="BD1942" s="162">
        <v>1</v>
      </c>
      <c r="BE1942" s="162">
        <v>1</v>
      </c>
      <c r="BF1942" s="162"/>
      <c r="BG1942" s="162"/>
      <c r="BH1942" s="162"/>
      <c r="BI1942" s="162"/>
      <c r="BJ1942" s="162">
        <v>1</v>
      </c>
      <c r="BK1942" s="162"/>
      <c r="BL1942" s="162"/>
      <c r="BM1942" s="162"/>
      <c r="BN1942" s="162"/>
    </row>
    <row r="1943" spans="1:67" x14ac:dyDescent="0.2">
      <c r="A1943" s="57">
        <v>1121</v>
      </c>
      <c r="B1943" s="162" t="s">
        <v>3655</v>
      </c>
      <c r="C1943" s="195">
        <v>44561.995740740742</v>
      </c>
      <c r="D1943" s="55">
        <v>260</v>
      </c>
      <c r="I1943" s="46" t="s">
        <v>839</v>
      </c>
      <c r="J1943" s="162">
        <v>1</v>
      </c>
      <c r="K1943" s="162">
        <v>1</v>
      </c>
      <c r="L1943" s="162"/>
      <c r="M1943" s="162"/>
      <c r="N1943" s="162"/>
      <c r="O1943" s="162">
        <v>1</v>
      </c>
      <c r="P1943" s="162"/>
      <c r="Q1943" s="162"/>
      <c r="R1943" s="162"/>
      <c r="S1943" s="162">
        <v>1</v>
      </c>
      <c r="T1943" s="162"/>
      <c r="U1943" s="162"/>
      <c r="V1943" s="162"/>
      <c r="W1943" s="162">
        <v>1</v>
      </c>
      <c r="X1943" s="162"/>
      <c r="Y1943" s="162"/>
      <c r="Z1943" s="162"/>
      <c r="AA1943" s="162">
        <v>1</v>
      </c>
      <c r="AB1943" s="162"/>
      <c r="AC1943" s="162"/>
      <c r="AD1943" s="162"/>
      <c r="AE1943" s="162"/>
      <c r="AF1943" s="162"/>
      <c r="AG1943" s="162">
        <v>1</v>
      </c>
      <c r="AH1943" s="162"/>
      <c r="AI1943" s="162"/>
      <c r="AJ1943" s="162"/>
      <c r="AK1943" s="162"/>
      <c r="AL1943" s="162"/>
      <c r="AM1943" s="162">
        <v>1</v>
      </c>
      <c r="AN1943" s="162">
        <v>1</v>
      </c>
      <c r="AO1943" s="162">
        <v>1</v>
      </c>
      <c r="AP1943" s="162">
        <v>1</v>
      </c>
      <c r="AQ1943" s="162">
        <v>1</v>
      </c>
      <c r="AR1943" s="162">
        <v>1</v>
      </c>
      <c r="AS1943" s="162">
        <v>1</v>
      </c>
      <c r="AT1943" s="162">
        <v>1</v>
      </c>
      <c r="AU1943" s="162">
        <v>1</v>
      </c>
      <c r="AV1943" s="162"/>
      <c r="AW1943" s="162"/>
      <c r="AX1943" s="162"/>
      <c r="AY1943" s="162"/>
      <c r="AZ1943" s="162">
        <v>1</v>
      </c>
      <c r="BA1943" s="162">
        <v>1</v>
      </c>
      <c r="BB1943" s="162">
        <v>1</v>
      </c>
      <c r="BC1943" s="162">
        <v>1</v>
      </c>
      <c r="BD1943" s="162">
        <v>1</v>
      </c>
      <c r="BE1943" s="162">
        <v>1</v>
      </c>
      <c r="BF1943" s="162"/>
      <c r="BG1943" s="162"/>
      <c r="BH1943" s="162"/>
      <c r="BI1943" s="162"/>
      <c r="BJ1943" s="162">
        <v>1</v>
      </c>
      <c r="BK1943" s="162"/>
      <c r="BL1943" s="162"/>
      <c r="BM1943" s="162"/>
      <c r="BN1943" s="162"/>
    </row>
    <row r="1944" spans="1:67" x14ac:dyDescent="0.2">
      <c r="A1944" s="57">
        <v>1121</v>
      </c>
      <c r="B1944" s="162" t="s">
        <v>3655</v>
      </c>
      <c r="C1944" s="195">
        <v>44531.446018518516</v>
      </c>
      <c r="D1944" s="55">
        <v>260</v>
      </c>
      <c r="I1944" s="46" t="s">
        <v>839</v>
      </c>
      <c r="J1944" s="162">
        <v>1</v>
      </c>
      <c r="K1944" s="162">
        <v>1</v>
      </c>
      <c r="L1944" s="162"/>
      <c r="M1944" s="162"/>
      <c r="N1944" s="162"/>
      <c r="O1944" s="162">
        <v>1</v>
      </c>
      <c r="P1944" s="162"/>
      <c r="Q1944" s="162"/>
      <c r="R1944" s="162"/>
      <c r="S1944" s="162">
        <v>1</v>
      </c>
      <c r="T1944" s="162"/>
      <c r="U1944" s="162"/>
      <c r="V1944" s="162"/>
      <c r="W1944" s="162">
        <v>1</v>
      </c>
      <c r="X1944" s="162"/>
      <c r="Y1944" s="162"/>
      <c r="Z1944" s="162"/>
      <c r="AA1944" s="162">
        <v>2</v>
      </c>
      <c r="AB1944" s="162"/>
      <c r="AC1944" s="162"/>
      <c r="AD1944" s="162"/>
      <c r="AE1944" s="162"/>
      <c r="AF1944" s="162"/>
      <c r="AG1944" s="162">
        <v>2</v>
      </c>
      <c r="AH1944" s="162"/>
      <c r="AI1944" s="162"/>
      <c r="AJ1944" s="162"/>
      <c r="AK1944" s="162"/>
      <c r="AL1944" s="162"/>
      <c r="AM1944" s="162">
        <v>2</v>
      </c>
      <c r="AN1944" s="162">
        <v>3</v>
      </c>
      <c r="AO1944" s="162">
        <v>3</v>
      </c>
      <c r="AP1944" s="162">
        <v>2</v>
      </c>
      <c r="AQ1944" s="162">
        <v>2</v>
      </c>
      <c r="AR1944" s="162">
        <v>2</v>
      </c>
      <c r="AS1944" s="162">
        <v>4</v>
      </c>
      <c r="AT1944" s="162">
        <v>1</v>
      </c>
      <c r="AU1944" s="162">
        <v>1</v>
      </c>
      <c r="AV1944" s="162"/>
      <c r="AW1944" s="162"/>
      <c r="AX1944" s="162"/>
      <c r="AY1944" s="162"/>
      <c r="AZ1944" s="162">
        <v>1</v>
      </c>
      <c r="BA1944" s="162">
        <v>1</v>
      </c>
      <c r="BB1944" s="162">
        <v>1</v>
      </c>
      <c r="BC1944" s="162">
        <v>1</v>
      </c>
      <c r="BD1944" s="162">
        <v>1</v>
      </c>
      <c r="BE1944" s="162">
        <v>1</v>
      </c>
      <c r="BF1944" s="162"/>
      <c r="BG1944" s="162"/>
      <c r="BH1944" s="162"/>
      <c r="BI1944" s="162"/>
      <c r="BJ1944" s="162">
        <v>1</v>
      </c>
      <c r="BK1944" s="162"/>
      <c r="BL1944" s="162"/>
      <c r="BM1944" s="162"/>
      <c r="BN1944" s="162"/>
    </row>
    <row r="1945" spans="1:67" x14ac:dyDescent="0.2">
      <c r="A1945" s="57">
        <v>1121</v>
      </c>
      <c r="B1945" s="162" t="s">
        <v>3655</v>
      </c>
      <c r="C1945" s="195">
        <v>44532.673078703701</v>
      </c>
      <c r="D1945" s="55">
        <v>260</v>
      </c>
      <c r="I1945" s="46" t="s">
        <v>839</v>
      </c>
      <c r="J1945" s="162">
        <v>2</v>
      </c>
      <c r="K1945" s="162">
        <v>2</v>
      </c>
      <c r="L1945" s="162"/>
      <c r="M1945" s="162"/>
      <c r="N1945" s="162"/>
      <c r="O1945" s="162">
        <v>2</v>
      </c>
      <c r="P1945" s="162"/>
      <c r="Q1945" s="162"/>
      <c r="R1945" s="162"/>
      <c r="S1945" s="162">
        <v>2</v>
      </c>
      <c r="T1945" s="162"/>
      <c r="U1945" s="162"/>
      <c r="V1945" s="162"/>
      <c r="W1945" s="162">
        <v>2</v>
      </c>
      <c r="X1945" s="162"/>
      <c r="Y1945" s="162"/>
      <c r="Z1945" s="162"/>
      <c r="AA1945" s="162">
        <v>1</v>
      </c>
      <c r="AB1945" s="162"/>
      <c r="AC1945" s="162"/>
      <c r="AD1945" s="162"/>
      <c r="AE1945" s="162"/>
      <c r="AF1945" s="162"/>
      <c r="AG1945" s="162">
        <v>1</v>
      </c>
      <c r="AH1945" s="162"/>
      <c r="AI1945" s="162"/>
      <c r="AJ1945" s="162"/>
      <c r="AK1945" s="162"/>
      <c r="AL1945" s="162"/>
      <c r="AM1945" s="162">
        <v>4</v>
      </c>
      <c r="AN1945" s="162"/>
      <c r="AO1945" s="162"/>
      <c r="AP1945" s="162"/>
      <c r="AQ1945" s="162"/>
      <c r="AR1945" s="162"/>
      <c r="AS1945" s="162">
        <v>4</v>
      </c>
      <c r="AT1945" s="162">
        <v>2</v>
      </c>
      <c r="AU1945" s="162">
        <v>2</v>
      </c>
      <c r="AV1945" s="162"/>
      <c r="AW1945" s="162"/>
      <c r="AX1945" s="162"/>
      <c r="AY1945" s="162"/>
      <c r="AZ1945" s="162">
        <v>1</v>
      </c>
      <c r="BA1945" s="162">
        <v>1</v>
      </c>
      <c r="BB1945" s="162">
        <v>1</v>
      </c>
      <c r="BC1945" s="162">
        <v>1</v>
      </c>
      <c r="BD1945" s="162">
        <v>1</v>
      </c>
      <c r="BE1945" s="162">
        <v>2</v>
      </c>
      <c r="BF1945" s="162"/>
      <c r="BG1945" s="162"/>
      <c r="BH1945" s="162"/>
      <c r="BI1945" s="162"/>
      <c r="BJ1945" s="162">
        <v>1</v>
      </c>
      <c r="BK1945" s="162"/>
      <c r="BL1945" s="162"/>
      <c r="BM1945" s="162"/>
      <c r="BN1945" s="162"/>
    </row>
    <row r="1946" spans="1:67" x14ac:dyDescent="0.2">
      <c r="A1946" s="57">
        <v>1121</v>
      </c>
      <c r="B1946" s="162" t="s">
        <v>3655</v>
      </c>
      <c r="C1946" s="195">
        <v>44532.584305555552</v>
      </c>
      <c r="D1946" s="55">
        <v>260</v>
      </c>
      <c r="I1946" s="46" t="s">
        <v>839</v>
      </c>
      <c r="J1946" s="162">
        <v>2</v>
      </c>
      <c r="K1946" s="162">
        <v>2</v>
      </c>
      <c r="L1946" s="162"/>
      <c r="M1946" s="162"/>
      <c r="N1946" s="162"/>
      <c r="O1946" s="162">
        <v>2</v>
      </c>
      <c r="P1946" s="162"/>
      <c r="Q1946" s="162"/>
      <c r="R1946" s="162"/>
      <c r="S1946" s="162">
        <v>2</v>
      </c>
      <c r="T1946" s="162"/>
      <c r="U1946" s="162"/>
      <c r="V1946" s="162"/>
      <c r="W1946" s="162">
        <v>2</v>
      </c>
      <c r="X1946" s="162"/>
      <c r="Y1946" s="162"/>
      <c r="Z1946" s="162"/>
      <c r="AA1946" s="162">
        <v>1</v>
      </c>
      <c r="AB1946" s="162"/>
      <c r="AC1946" s="162"/>
      <c r="AD1946" s="162"/>
      <c r="AE1946" s="162"/>
      <c r="AF1946" s="162"/>
      <c r="AG1946" s="162">
        <v>1</v>
      </c>
      <c r="AH1946" s="162"/>
      <c r="AI1946" s="162"/>
      <c r="AJ1946" s="162"/>
      <c r="AK1946" s="162"/>
      <c r="AL1946" s="162"/>
      <c r="AM1946" s="162">
        <v>4</v>
      </c>
      <c r="AN1946" s="162"/>
      <c r="AO1946" s="162"/>
      <c r="AP1946" s="162"/>
      <c r="AQ1946" s="162"/>
      <c r="AR1946" s="162"/>
      <c r="AS1946" s="162">
        <v>4</v>
      </c>
      <c r="AT1946" s="162">
        <v>2</v>
      </c>
      <c r="AU1946" s="162">
        <v>1</v>
      </c>
      <c r="AV1946" s="162"/>
      <c r="AW1946" s="162"/>
      <c r="AX1946" s="162"/>
      <c r="AY1946" s="162"/>
      <c r="AZ1946" s="162">
        <v>1</v>
      </c>
      <c r="BA1946" s="162">
        <v>1</v>
      </c>
      <c r="BB1946" s="162">
        <v>1</v>
      </c>
      <c r="BC1946" s="162">
        <v>1</v>
      </c>
      <c r="BD1946" s="162">
        <v>1</v>
      </c>
      <c r="BE1946" s="162">
        <v>2</v>
      </c>
      <c r="BF1946" s="162"/>
      <c r="BG1946" s="162"/>
      <c r="BH1946" s="162"/>
      <c r="BI1946" s="162"/>
      <c r="BJ1946" s="162">
        <v>1</v>
      </c>
      <c r="BK1946" s="162"/>
      <c r="BL1946" s="162"/>
      <c r="BM1946" s="162"/>
      <c r="BN1946" s="162"/>
    </row>
    <row r="1947" spans="1:67" x14ac:dyDescent="0.2">
      <c r="A1947" s="57">
        <v>1121</v>
      </c>
      <c r="B1947" s="162" t="s">
        <v>3655</v>
      </c>
      <c r="C1947" s="195">
        <v>44531.586689814816</v>
      </c>
      <c r="D1947" s="55">
        <v>260</v>
      </c>
      <c r="I1947" s="46" t="s">
        <v>839</v>
      </c>
      <c r="J1947" s="162">
        <v>1</v>
      </c>
      <c r="K1947" s="162">
        <v>1</v>
      </c>
      <c r="L1947" s="162"/>
      <c r="M1947" s="162"/>
      <c r="N1947" s="162"/>
      <c r="O1947" s="162">
        <v>1</v>
      </c>
      <c r="P1947" s="162"/>
      <c r="Q1947" s="162"/>
      <c r="R1947" s="162"/>
      <c r="S1947" s="162">
        <v>1</v>
      </c>
      <c r="T1947" s="162"/>
      <c r="U1947" s="162"/>
      <c r="V1947" s="162"/>
      <c r="W1947" s="162">
        <v>1</v>
      </c>
      <c r="X1947" s="162"/>
      <c r="Y1947" s="162"/>
      <c r="Z1947" s="162"/>
      <c r="AA1947" s="162">
        <v>1</v>
      </c>
      <c r="AB1947" s="162"/>
      <c r="AC1947" s="162"/>
      <c r="AD1947" s="162"/>
      <c r="AE1947" s="162"/>
      <c r="AF1947" s="162"/>
      <c r="AG1947" s="162">
        <v>2</v>
      </c>
      <c r="AH1947" s="162"/>
      <c r="AI1947" s="162"/>
      <c r="AJ1947" s="162"/>
      <c r="AK1947" s="162"/>
      <c r="AL1947" s="162"/>
      <c r="AM1947" s="162">
        <v>4</v>
      </c>
      <c r="AN1947" s="162"/>
      <c r="AO1947" s="162"/>
      <c r="AP1947" s="162"/>
      <c r="AQ1947" s="162"/>
      <c r="AR1947" s="162"/>
      <c r="AS1947" s="162">
        <v>4</v>
      </c>
      <c r="AT1947" s="162">
        <v>1</v>
      </c>
      <c r="AU1947" s="162">
        <v>1</v>
      </c>
      <c r="AV1947" s="162"/>
      <c r="AW1947" s="162"/>
      <c r="AX1947" s="162"/>
      <c r="AY1947" s="162"/>
      <c r="AZ1947" s="162">
        <v>1</v>
      </c>
      <c r="BA1947" s="162">
        <v>1</v>
      </c>
      <c r="BB1947" s="162">
        <v>1</v>
      </c>
      <c r="BC1947" s="162">
        <v>1</v>
      </c>
      <c r="BD1947" s="162">
        <v>1</v>
      </c>
      <c r="BE1947" s="162">
        <v>1</v>
      </c>
      <c r="BF1947" s="162"/>
      <c r="BG1947" s="162"/>
      <c r="BH1947" s="162"/>
      <c r="BI1947" s="162"/>
      <c r="BJ1947" s="162">
        <v>1</v>
      </c>
      <c r="BK1947" s="162"/>
      <c r="BL1947" s="162"/>
      <c r="BM1947" s="162"/>
      <c r="BN1947" s="162"/>
    </row>
    <row r="1948" spans="1:67" x14ac:dyDescent="0.2">
      <c r="A1948" s="57">
        <v>1121</v>
      </c>
      <c r="B1948" s="162" t="s">
        <v>3655</v>
      </c>
      <c r="C1948" s="195">
        <v>44531.505416666667</v>
      </c>
      <c r="D1948" s="55">
        <v>260</v>
      </c>
      <c r="I1948" s="46" t="s">
        <v>839</v>
      </c>
      <c r="J1948" s="162">
        <v>1</v>
      </c>
      <c r="K1948" s="162">
        <v>1</v>
      </c>
      <c r="L1948" s="162"/>
      <c r="M1948" s="162"/>
      <c r="N1948" s="162"/>
      <c r="O1948" s="162">
        <v>1</v>
      </c>
      <c r="P1948" s="162"/>
      <c r="Q1948" s="162"/>
      <c r="R1948" s="162"/>
      <c r="S1948" s="162">
        <v>1</v>
      </c>
      <c r="T1948" s="162"/>
      <c r="U1948" s="162"/>
      <c r="V1948" s="162"/>
      <c r="W1948" s="162">
        <v>1</v>
      </c>
      <c r="X1948" s="162"/>
      <c r="Y1948" s="162"/>
      <c r="Z1948" s="162"/>
      <c r="AA1948" s="162">
        <v>1</v>
      </c>
      <c r="AB1948" s="162"/>
      <c r="AC1948" s="162"/>
      <c r="AD1948" s="162"/>
      <c r="AE1948" s="162"/>
      <c r="AF1948" s="162"/>
      <c r="AG1948" s="162">
        <v>1</v>
      </c>
      <c r="AH1948" s="162"/>
      <c r="AI1948" s="162"/>
      <c r="AJ1948" s="162"/>
      <c r="AK1948" s="162"/>
      <c r="AL1948" s="162"/>
      <c r="AM1948" s="162">
        <v>2</v>
      </c>
      <c r="AN1948" s="162">
        <v>1</v>
      </c>
      <c r="AO1948" s="162">
        <v>1</v>
      </c>
      <c r="AP1948" s="162">
        <v>1</v>
      </c>
      <c r="AQ1948" s="162">
        <v>3</v>
      </c>
      <c r="AR1948" s="162">
        <v>3</v>
      </c>
      <c r="AS1948" s="162">
        <v>4</v>
      </c>
      <c r="AT1948" s="162">
        <v>1</v>
      </c>
      <c r="AU1948" s="162">
        <v>1</v>
      </c>
      <c r="AV1948" s="162"/>
      <c r="AW1948" s="162"/>
      <c r="AX1948" s="162"/>
      <c r="AY1948" s="162"/>
      <c r="AZ1948" s="162">
        <v>1</v>
      </c>
      <c r="BA1948" s="162">
        <v>1</v>
      </c>
      <c r="BB1948" s="162">
        <v>1</v>
      </c>
      <c r="BC1948" s="162">
        <v>1</v>
      </c>
      <c r="BD1948" s="162">
        <v>1</v>
      </c>
      <c r="BE1948" s="162">
        <v>1</v>
      </c>
      <c r="BF1948" s="162"/>
      <c r="BG1948" s="162"/>
      <c r="BH1948" s="162"/>
      <c r="BI1948" s="162"/>
      <c r="BJ1948" s="162">
        <v>1</v>
      </c>
      <c r="BK1948" s="162"/>
      <c r="BL1948" s="162"/>
      <c r="BM1948" s="162"/>
      <c r="BN1948" s="162"/>
    </row>
    <row r="1949" spans="1:67" x14ac:dyDescent="0.2">
      <c r="A1949" s="57">
        <v>1121</v>
      </c>
      <c r="B1949" s="162" t="s">
        <v>3655</v>
      </c>
      <c r="C1949" s="195">
        <v>44531.388449074075</v>
      </c>
      <c r="D1949" s="55">
        <v>260</v>
      </c>
      <c r="I1949" s="46" t="s">
        <v>839</v>
      </c>
      <c r="J1949" s="162">
        <v>1</v>
      </c>
      <c r="K1949" s="162">
        <v>1</v>
      </c>
      <c r="L1949" s="162"/>
      <c r="M1949" s="162"/>
      <c r="N1949" s="162"/>
      <c r="O1949" s="162">
        <v>1</v>
      </c>
      <c r="P1949" s="162"/>
      <c r="Q1949" s="162"/>
      <c r="R1949" s="162"/>
      <c r="S1949" s="162">
        <v>4</v>
      </c>
      <c r="T1949" s="162">
        <v>2</v>
      </c>
      <c r="U1949" s="162">
        <v>2</v>
      </c>
      <c r="V1949" s="162">
        <v>1</v>
      </c>
      <c r="W1949" s="162">
        <v>1</v>
      </c>
      <c r="X1949" s="162"/>
      <c r="Y1949" s="162"/>
      <c r="Z1949" s="162"/>
      <c r="AA1949" s="162">
        <v>3</v>
      </c>
      <c r="AB1949" s="162">
        <v>1</v>
      </c>
      <c r="AC1949" s="162">
        <v>2</v>
      </c>
      <c r="AD1949" s="162">
        <v>2</v>
      </c>
      <c r="AE1949" s="162">
        <v>1</v>
      </c>
      <c r="AF1949" s="162">
        <v>2</v>
      </c>
      <c r="AG1949" s="162">
        <v>3</v>
      </c>
      <c r="AH1949" s="162">
        <v>2</v>
      </c>
      <c r="AI1949" s="162">
        <v>1</v>
      </c>
      <c r="AJ1949" s="162">
        <v>1</v>
      </c>
      <c r="AK1949" s="162">
        <v>1</v>
      </c>
      <c r="AL1949" s="162">
        <v>1</v>
      </c>
      <c r="AM1949" s="162">
        <v>4</v>
      </c>
      <c r="AN1949" s="162"/>
      <c r="AO1949" s="162"/>
      <c r="AP1949" s="162"/>
      <c r="AQ1949" s="162"/>
      <c r="AR1949" s="162"/>
      <c r="AS1949" s="162">
        <v>4</v>
      </c>
      <c r="AT1949" s="162">
        <v>1</v>
      </c>
      <c r="AU1949" s="162">
        <v>1</v>
      </c>
      <c r="AV1949" s="162"/>
      <c r="AW1949" s="162"/>
      <c r="AX1949" s="162"/>
      <c r="AY1949" s="162"/>
      <c r="AZ1949" s="162">
        <v>1</v>
      </c>
      <c r="BA1949" s="162">
        <v>1</v>
      </c>
      <c r="BB1949" s="162">
        <v>1</v>
      </c>
      <c r="BC1949" s="162">
        <v>1</v>
      </c>
      <c r="BD1949" s="162">
        <v>1</v>
      </c>
      <c r="BE1949" s="162">
        <v>1</v>
      </c>
      <c r="BF1949" s="162"/>
      <c r="BG1949" s="162"/>
      <c r="BH1949" s="162"/>
      <c r="BI1949" s="162"/>
      <c r="BJ1949" s="162">
        <v>1</v>
      </c>
      <c r="BK1949" s="162"/>
      <c r="BL1949" s="162"/>
      <c r="BM1949" s="162"/>
      <c r="BN1949" s="162"/>
    </row>
    <row r="1950" spans="1:67" x14ac:dyDescent="0.2">
      <c r="A1950" s="57">
        <v>1121</v>
      </c>
      <c r="B1950" s="162" t="s">
        <v>3655</v>
      </c>
      <c r="C1950" s="195">
        <v>44531.339166666665</v>
      </c>
      <c r="D1950" s="55">
        <v>260</v>
      </c>
      <c r="I1950" s="46" t="s">
        <v>839</v>
      </c>
      <c r="J1950" s="162">
        <v>1</v>
      </c>
      <c r="K1950" s="162">
        <v>1</v>
      </c>
      <c r="L1950" s="162"/>
      <c r="M1950" s="162"/>
      <c r="N1950" s="162"/>
      <c r="O1950" s="162">
        <v>1</v>
      </c>
      <c r="P1950" s="162"/>
      <c r="Q1950" s="162"/>
      <c r="R1950" s="162"/>
      <c r="S1950" s="162">
        <v>1</v>
      </c>
      <c r="T1950" s="162"/>
      <c r="U1950" s="162"/>
      <c r="V1950" s="162"/>
      <c r="W1950" s="162">
        <v>1</v>
      </c>
      <c r="X1950" s="162"/>
      <c r="Y1950" s="162"/>
      <c r="Z1950" s="162"/>
      <c r="AA1950" s="162">
        <v>2</v>
      </c>
      <c r="AB1950" s="162"/>
      <c r="AC1950" s="162"/>
      <c r="AD1950" s="162"/>
      <c r="AE1950" s="162"/>
      <c r="AF1950" s="162"/>
      <c r="AG1950" s="162">
        <v>2</v>
      </c>
      <c r="AH1950" s="162"/>
      <c r="AI1950" s="162"/>
      <c r="AJ1950" s="162"/>
      <c r="AK1950" s="162"/>
      <c r="AL1950" s="162"/>
      <c r="AM1950" s="162">
        <v>4</v>
      </c>
      <c r="AN1950" s="162"/>
      <c r="AO1950" s="162"/>
      <c r="AP1950" s="162"/>
      <c r="AQ1950" s="162"/>
      <c r="AR1950" s="162"/>
      <c r="AS1950" s="162">
        <v>4</v>
      </c>
      <c r="AT1950" s="162">
        <v>1</v>
      </c>
      <c r="AU1950" s="162">
        <v>1</v>
      </c>
      <c r="AV1950" s="162"/>
      <c r="AW1950" s="162"/>
      <c r="AX1950" s="162"/>
      <c r="AY1950" s="162"/>
      <c r="AZ1950" s="162">
        <v>1</v>
      </c>
      <c r="BA1950" s="162">
        <v>1</v>
      </c>
      <c r="BB1950" s="162">
        <v>1</v>
      </c>
      <c r="BC1950" s="162">
        <v>1</v>
      </c>
      <c r="BD1950" s="162">
        <v>1</v>
      </c>
      <c r="BE1950" s="162">
        <v>1</v>
      </c>
      <c r="BF1950" s="162"/>
      <c r="BG1950" s="162"/>
      <c r="BH1950" s="162"/>
      <c r="BI1950" s="162"/>
      <c r="BJ1950" s="162">
        <v>1</v>
      </c>
      <c r="BK1950" s="162"/>
      <c r="BL1950" s="162"/>
      <c r="BM1950" s="162"/>
      <c r="BN1950" s="162"/>
    </row>
    <row r="1951" spans="1:67" x14ac:dyDescent="0.2">
      <c r="A1951" s="57">
        <v>1021</v>
      </c>
      <c r="B1951" s="162" t="s">
        <v>3655</v>
      </c>
      <c r="C1951" s="195">
        <v>44517.88071759259</v>
      </c>
      <c r="D1951" s="55">
        <v>260</v>
      </c>
      <c r="I1951" s="46" t="s">
        <v>837</v>
      </c>
    </row>
    <row r="1952" spans="1:67" x14ac:dyDescent="0.2">
      <c r="A1952" s="57">
        <v>222</v>
      </c>
      <c r="B1952" s="162" t="s">
        <v>3655</v>
      </c>
      <c r="C1952" s="195">
        <v>44631.93472222222</v>
      </c>
      <c r="D1952" s="55">
        <v>280</v>
      </c>
      <c r="I1952" s="46" t="s">
        <v>839</v>
      </c>
      <c r="J1952" s="162">
        <v>1</v>
      </c>
      <c r="K1952" s="162">
        <v>1</v>
      </c>
      <c r="L1952" s="162"/>
      <c r="M1952" s="162"/>
      <c r="N1952" s="162"/>
      <c r="O1952" s="162">
        <v>1</v>
      </c>
      <c r="P1952" s="162"/>
      <c r="Q1952" s="162"/>
      <c r="R1952" s="162"/>
      <c r="S1952" s="162">
        <v>1</v>
      </c>
      <c r="T1952" s="162"/>
      <c r="U1952" s="162"/>
      <c r="V1952" s="162"/>
      <c r="W1952" s="162">
        <v>1</v>
      </c>
      <c r="X1952" s="162"/>
      <c r="Y1952" s="162"/>
      <c r="Z1952" s="162"/>
      <c r="AA1952" s="162">
        <v>1</v>
      </c>
      <c r="AB1952" s="162"/>
      <c r="AC1952" s="162"/>
      <c r="AD1952" s="162"/>
      <c r="AE1952" s="162"/>
      <c r="AF1952" s="162"/>
      <c r="AG1952" s="162">
        <v>2</v>
      </c>
      <c r="AH1952" s="162"/>
      <c r="AI1952" s="162"/>
      <c r="AJ1952" s="162"/>
      <c r="AK1952" s="162"/>
      <c r="AL1952" s="162"/>
      <c r="AM1952" s="162">
        <v>3</v>
      </c>
      <c r="AN1952" s="162"/>
      <c r="AO1952" s="162"/>
      <c r="AP1952" s="162"/>
      <c r="AQ1952" s="162"/>
      <c r="AR1952" s="162"/>
      <c r="AS1952" s="162">
        <v>4</v>
      </c>
      <c r="AT1952" s="162">
        <v>1</v>
      </c>
      <c r="AU1952" s="162">
        <v>1</v>
      </c>
      <c r="AV1952" s="162"/>
      <c r="AW1952" s="162"/>
      <c r="AX1952" s="162"/>
      <c r="AY1952" s="162"/>
      <c r="AZ1952" s="162">
        <v>1</v>
      </c>
      <c r="BA1952" s="162">
        <v>1</v>
      </c>
      <c r="BB1952" s="162">
        <v>1</v>
      </c>
      <c r="BC1952" s="162">
        <v>1</v>
      </c>
      <c r="BD1952" s="162">
        <v>1</v>
      </c>
      <c r="BE1952" s="162">
        <v>1</v>
      </c>
      <c r="BF1952" s="162"/>
      <c r="BG1952" s="162"/>
      <c r="BH1952" s="162"/>
      <c r="BI1952" s="162"/>
      <c r="BJ1952" s="162">
        <v>1</v>
      </c>
      <c r="BK1952" s="162"/>
      <c r="BL1952" s="162"/>
      <c r="BM1952" s="162"/>
      <c r="BN1952" s="162"/>
      <c r="BO1952" s="162"/>
    </row>
    <row r="1953" spans="1:67" x14ac:dyDescent="0.2">
      <c r="A1953" s="57">
        <v>222</v>
      </c>
      <c r="B1953" s="162" t="s">
        <v>3655</v>
      </c>
      <c r="C1953" s="195">
        <v>44631.604120370372</v>
      </c>
      <c r="D1953" s="55">
        <v>280</v>
      </c>
      <c r="I1953" s="46" t="s">
        <v>839</v>
      </c>
      <c r="J1953" s="162">
        <v>1</v>
      </c>
      <c r="K1953" s="162">
        <v>1</v>
      </c>
      <c r="L1953" s="162"/>
      <c r="M1953" s="162"/>
      <c r="N1953" s="162"/>
      <c r="O1953" s="162">
        <v>2</v>
      </c>
      <c r="P1953" s="162"/>
      <c r="Q1953" s="162"/>
      <c r="R1953" s="162"/>
      <c r="S1953" s="162">
        <v>1</v>
      </c>
      <c r="T1953" s="162"/>
      <c r="U1953" s="162"/>
      <c r="V1953" s="162"/>
      <c r="W1953" s="162">
        <v>1</v>
      </c>
      <c r="X1953" s="162"/>
      <c r="Y1953" s="162"/>
      <c r="Z1953" s="162"/>
      <c r="AA1953" s="162">
        <v>1</v>
      </c>
      <c r="AB1953" s="162"/>
      <c r="AC1953" s="162"/>
      <c r="AD1953" s="162"/>
      <c r="AE1953" s="162"/>
      <c r="AF1953" s="162"/>
      <c r="AG1953" s="162">
        <v>2</v>
      </c>
      <c r="AH1953" s="162"/>
      <c r="AI1953" s="162"/>
      <c r="AJ1953" s="162"/>
      <c r="AK1953" s="162"/>
      <c r="AL1953" s="162"/>
      <c r="AM1953" s="162">
        <v>4</v>
      </c>
      <c r="AN1953" s="162"/>
      <c r="AO1953" s="162"/>
      <c r="AP1953" s="162"/>
      <c r="AQ1953" s="162"/>
      <c r="AR1953" s="162"/>
      <c r="AS1953" s="162">
        <v>4</v>
      </c>
      <c r="AT1953" s="162">
        <v>1</v>
      </c>
      <c r="AU1953" s="162">
        <v>1</v>
      </c>
      <c r="AV1953" s="162"/>
      <c r="AW1953" s="162"/>
      <c r="AX1953" s="162"/>
      <c r="AY1953" s="162"/>
      <c r="AZ1953" s="162">
        <v>1</v>
      </c>
      <c r="BA1953" s="162">
        <v>1</v>
      </c>
      <c r="BB1953" s="162">
        <v>1</v>
      </c>
      <c r="BC1953" s="162">
        <v>1</v>
      </c>
      <c r="BD1953" s="162">
        <v>1</v>
      </c>
      <c r="BE1953" s="162">
        <v>2</v>
      </c>
      <c r="BF1953" s="162"/>
      <c r="BG1953" s="162"/>
      <c r="BH1953" s="162"/>
      <c r="BI1953" s="162"/>
      <c r="BJ1953" s="162">
        <v>1</v>
      </c>
      <c r="BK1953" s="162"/>
      <c r="BL1953" s="162"/>
      <c r="BM1953" s="162"/>
      <c r="BN1953" s="162"/>
      <c r="BO1953" s="162"/>
    </row>
    <row r="1954" spans="1:67" x14ac:dyDescent="0.2">
      <c r="A1954" s="57">
        <v>222</v>
      </c>
      <c r="B1954" s="162" t="s">
        <v>3655</v>
      </c>
      <c r="C1954" s="195">
        <v>44621.437256944446</v>
      </c>
      <c r="D1954" s="55">
        <v>280</v>
      </c>
      <c r="I1954" s="46" t="s">
        <v>839</v>
      </c>
      <c r="J1954" s="162">
        <v>1</v>
      </c>
      <c r="K1954" s="162">
        <v>1</v>
      </c>
      <c r="L1954" s="162"/>
      <c r="M1954" s="162"/>
      <c r="N1954" s="162"/>
      <c r="O1954" s="162">
        <v>1</v>
      </c>
      <c r="P1954" s="162"/>
      <c r="Q1954" s="162"/>
      <c r="R1954" s="162"/>
      <c r="S1954" s="162">
        <v>1</v>
      </c>
      <c r="T1954" s="162"/>
      <c r="U1954" s="162"/>
      <c r="V1954" s="162"/>
      <c r="W1954" s="162">
        <v>1</v>
      </c>
      <c r="X1954" s="162"/>
      <c r="Y1954" s="162"/>
      <c r="Z1954" s="162"/>
      <c r="AA1954" s="162">
        <v>1</v>
      </c>
      <c r="AB1954" s="162"/>
      <c r="AC1954" s="162"/>
      <c r="AD1954" s="162"/>
      <c r="AE1954" s="162"/>
      <c r="AF1954" s="162"/>
      <c r="AG1954" s="162">
        <v>1</v>
      </c>
      <c r="AH1954" s="162"/>
      <c r="AI1954" s="162"/>
      <c r="AJ1954" s="162"/>
      <c r="AK1954" s="162"/>
      <c r="AL1954" s="162"/>
      <c r="AM1954" s="162">
        <v>4</v>
      </c>
      <c r="AN1954" s="162"/>
      <c r="AO1954" s="162"/>
      <c r="AP1954" s="162"/>
      <c r="AQ1954" s="162"/>
      <c r="AR1954" s="162"/>
      <c r="AS1954" s="162">
        <v>4</v>
      </c>
      <c r="AT1954" s="162">
        <v>1</v>
      </c>
      <c r="AU1954" s="162">
        <v>1</v>
      </c>
      <c r="AV1954" s="162"/>
      <c r="AW1954" s="162"/>
      <c r="AX1954" s="162"/>
      <c r="AY1954" s="162"/>
      <c r="AZ1954" s="162">
        <v>1</v>
      </c>
      <c r="BA1954" s="162">
        <v>1</v>
      </c>
      <c r="BB1954" s="162">
        <v>1</v>
      </c>
      <c r="BC1954" s="162">
        <v>2</v>
      </c>
      <c r="BD1954" s="162">
        <v>1</v>
      </c>
      <c r="BE1954" s="162">
        <v>1</v>
      </c>
      <c r="BF1954" s="162"/>
      <c r="BG1954" s="162"/>
      <c r="BH1954" s="162"/>
      <c r="BI1954" s="162"/>
      <c r="BJ1954" s="162">
        <v>1</v>
      </c>
      <c r="BK1954" s="162"/>
      <c r="BL1954" s="162"/>
      <c r="BM1954" s="162"/>
      <c r="BN1954" s="162"/>
      <c r="BO1954" s="162"/>
    </row>
    <row r="1955" spans="1:67" x14ac:dyDescent="0.2">
      <c r="A1955" s="57">
        <v>222</v>
      </c>
      <c r="B1955" s="162" t="s">
        <v>3655</v>
      </c>
      <c r="C1955" s="195">
        <v>44621.359270833331</v>
      </c>
      <c r="D1955" s="55">
        <v>280</v>
      </c>
      <c r="I1955" s="46" t="s">
        <v>839</v>
      </c>
      <c r="J1955" s="162">
        <v>4</v>
      </c>
      <c r="K1955" s="162">
        <v>4</v>
      </c>
      <c r="L1955" s="162">
        <v>2</v>
      </c>
      <c r="M1955" s="162">
        <v>2</v>
      </c>
      <c r="N1955" s="162">
        <v>2</v>
      </c>
      <c r="O1955" s="162">
        <v>4</v>
      </c>
      <c r="P1955" s="162">
        <v>2</v>
      </c>
      <c r="Q1955" s="162">
        <v>2</v>
      </c>
      <c r="R1955" s="162">
        <v>2</v>
      </c>
      <c r="S1955" s="162">
        <v>4</v>
      </c>
      <c r="T1955" s="162">
        <v>2</v>
      </c>
      <c r="U1955" s="162">
        <v>2</v>
      </c>
      <c r="V1955" s="162">
        <v>2</v>
      </c>
      <c r="W1955" s="162">
        <v>4</v>
      </c>
      <c r="X1955" s="162">
        <v>2</v>
      </c>
      <c r="Y1955" s="162">
        <v>2</v>
      </c>
      <c r="Z1955" s="162">
        <v>2</v>
      </c>
      <c r="AA1955" s="162">
        <v>4</v>
      </c>
      <c r="AB1955" s="162">
        <v>2</v>
      </c>
      <c r="AC1955" s="162">
        <v>2</v>
      </c>
      <c r="AD1955" s="162">
        <v>2</v>
      </c>
      <c r="AE1955" s="162">
        <v>3</v>
      </c>
      <c r="AF1955" s="162">
        <v>3</v>
      </c>
      <c r="AG1955" s="162">
        <v>4</v>
      </c>
      <c r="AH1955" s="162">
        <v>2</v>
      </c>
      <c r="AI1955" s="162">
        <v>3</v>
      </c>
      <c r="AJ1955" s="162">
        <v>3</v>
      </c>
      <c r="AK1955" s="162">
        <v>2</v>
      </c>
      <c r="AL1955" s="162">
        <v>2</v>
      </c>
      <c r="AM1955" s="162">
        <v>3</v>
      </c>
      <c r="AN1955" s="162"/>
      <c r="AO1955" s="162"/>
      <c r="AP1955" s="162"/>
      <c r="AQ1955" s="162"/>
      <c r="AR1955" s="162"/>
      <c r="AS1955" s="162">
        <v>3</v>
      </c>
      <c r="AT1955" s="162">
        <v>4</v>
      </c>
      <c r="AU1955" s="162">
        <v>4</v>
      </c>
      <c r="AV1955" s="162">
        <v>2</v>
      </c>
      <c r="AW1955" s="162">
        <v>2</v>
      </c>
      <c r="AX1955" s="162">
        <v>2</v>
      </c>
      <c r="AY1955" s="162">
        <v>2</v>
      </c>
      <c r="AZ1955" s="162">
        <v>4</v>
      </c>
      <c r="BA1955" s="162">
        <v>2</v>
      </c>
      <c r="BB1955" s="162">
        <v>2</v>
      </c>
      <c r="BC1955" s="162">
        <v>2</v>
      </c>
      <c r="BD1955" s="162">
        <v>1</v>
      </c>
      <c r="BE1955" s="162">
        <v>4</v>
      </c>
      <c r="BF1955" s="162">
        <v>2</v>
      </c>
      <c r="BG1955" s="162">
        <v>2</v>
      </c>
      <c r="BH1955" s="162">
        <v>2</v>
      </c>
      <c r="BI1955" s="162">
        <v>2</v>
      </c>
      <c r="BJ1955" s="162">
        <v>4</v>
      </c>
      <c r="BK1955" s="162">
        <v>1</v>
      </c>
      <c r="BL1955" s="162">
        <v>2</v>
      </c>
      <c r="BM1955" s="162">
        <v>3</v>
      </c>
      <c r="BN1955" s="162">
        <v>2</v>
      </c>
      <c r="BO1955" s="162"/>
    </row>
    <row r="1956" spans="1:67" x14ac:dyDescent="0.2">
      <c r="A1956" s="57">
        <v>222</v>
      </c>
      <c r="B1956" s="162" t="s">
        <v>3655</v>
      </c>
      <c r="C1956" s="195">
        <v>44621.317094907405</v>
      </c>
      <c r="D1956" s="55">
        <v>280</v>
      </c>
      <c r="I1956" s="46" t="s">
        <v>839</v>
      </c>
      <c r="J1956" s="162">
        <v>2</v>
      </c>
      <c r="K1956" s="162">
        <v>2</v>
      </c>
      <c r="L1956" s="162"/>
      <c r="M1956" s="162"/>
      <c r="N1956" s="162"/>
      <c r="O1956" s="162">
        <v>2</v>
      </c>
      <c r="P1956" s="162"/>
      <c r="Q1956" s="162"/>
      <c r="R1956" s="162"/>
      <c r="S1956" s="162">
        <v>2</v>
      </c>
      <c r="T1956" s="162"/>
      <c r="U1956" s="162"/>
      <c r="V1956" s="162"/>
      <c r="W1956" s="162">
        <v>2</v>
      </c>
      <c r="X1956" s="162"/>
      <c r="Y1956" s="162"/>
      <c r="Z1956" s="162"/>
      <c r="AA1956" s="162">
        <v>4</v>
      </c>
      <c r="AB1956" s="162">
        <v>2</v>
      </c>
      <c r="AC1956" s="162">
        <v>2</v>
      </c>
      <c r="AD1956" s="162">
        <v>1</v>
      </c>
      <c r="AE1956" s="162">
        <v>3</v>
      </c>
      <c r="AF1956" s="162">
        <v>3</v>
      </c>
      <c r="AG1956" s="162">
        <v>4</v>
      </c>
      <c r="AH1956" s="162">
        <v>3</v>
      </c>
      <c r="AI1956" s="162">
        <v>1</v>
      </c>
      <c r="AJ1956" s="162">
        <v>1</v>
      </c>
      <c r="AK1956" s="162">
        <v>3</v>
      </c>
      <c r="AL1956" s="162">
        <v>2</v>
      </c>
      <c r="AM1956" s="162">
        <v>4</v>
      </c>
      <c r="AN1956" s="162"/>
      <c r="AO1956" s="162"/>
      <c r="AP1956" s="162"/>
      <c r="AQ1956" s="162"/>
      <c r="AR1956" s="162"/>
      <c r="AS1956" s="162">
        <v>4</v>
      </c>
      <c r="AT1956" s="162">
        <v>4</v>
      </c>
      <c r="AU1956" s="162">
        <v>2</v>
      </c>
      <c r="AV1956" s="162"/>
      <c r="AW1956" s="162"/>
      <c r="AX1956" s="162"/>
      <c r="AY1956" s="162"/>
      <c r="AZ1956" s="162">
        <v>1</v>
      </c>
      <c r="BA1956" s="162">
        <v>1</v>
      </c>
      <c r="BB1956" s="162">
        <v>1</v>
      </c>
      <c r="BC1956" s="162">
        <v>1</v>
      </c>
      <c r="BD1956" s="162">
        <v>1</v>
      </c>
      <c r="BE1956" s="162">
        <v>2</v>
      </c>
      <c r="BF1956" s="162"/>
      <c r="BG1956" s="162"/>
      <c r="BH1956" s="162"/>
      <c r="BI1956" s="162"/>
      <c r="BJ1956" s="162">
        <v>1</v>
      </c>
      <c r="BK1956" s="162"/>
      <c r="BL1956" s="162"/>
      <c r="BM1956" s="162"/>
      <c r="BN1956" s="162"/>
      <c r="BO1956" s="162"/>
    </row>
    <row r="1957" spans="1:67" x14ac:dyDescent="0.2">
      <c r="A1957" s="57">
        <v>122</v>
      </c>
      <c r="B1957" s="162" t="s">
        <v>3655</v>
      </c>
      <c r="C1957" s="195">
        <v>44601.172337962962</v>
      </c>
      <c r="D1957" s="55">
        <v>280</v>
      </c>
      <c r="I1957" s="46" t="s">
        <v>839</v>
      </c>
      <c r="J1957" s="162">
        <v>1</v>
      </c>
      <c r="K1957" s="162">
        <v>1</v>
      </c>
      <c r="L1957" s="162"/>
      <c r="M1957" s="162"/>
      <c r="N1957" s="162"/>
      <c r="O1957" s="162">
        <v>1</v>
      </c>
      <c r="P1957" s="162"/>
      <c r="Q1957" s="162"/>
      <c r="R1957" s="162"/>
      <c r="S1957" s="162">
        <v>1</v>
      </c>
      <c r="T1957" s="162"/>
      <c r="U1957" s="162"/>
      <c r="V1957" s="162"/>
      <c r="W1957" s="162">
        <v>1</v>
      </c>
      <c r="X1957" s="162"/>
      <c r="Y1957" s="162"/>
      <c r="Z1957" s="162"/>
      <c r="AA1957" s="162">
        <v>2</v>
      </c>
      <c r="AB1957" s="162"/>
      <c r="AC1957" s="162"/>
      <c r="AD1957" s="162"/>
      <c r="AE1957" s="162"/>
      <c r="AF1957" s="162"/>
      <c r="AG1957" s="162">
        <v>4</v>
      </c>
      <c r="AH1957" s="162">
        <v>3</v>
      </c>
      <c r="AI1957" s="162">
        <v>2</v>
      </c>
      <c r="AJ1957" s="162">
        <v>3</v>
      </c>
      <c r="AK1957" s="162">
        <v>3</v>
      </c>
      <c r="AL1957" s="162">
        <v>3</v>
      </c>
      <c r="AM1957" s="162">
        <v>4</v>
      </c>
      <c r="AN1957" s="162"/>
      <c r="AO1957" s="162"/>
      <c r="AP1957" s="162"/>
      <c r="AQ1957" s="162"/>
      <c r="AR1957" s="162"/>
      <c r="AS1957" s="162">
        <v>4</v>
      </c>
      <c r="AT1957" s="162">
        <v>1</v>
      </c>
      <c r="AU1957" s="162">
        <v>3</v>
      </c>
      <c r="AV1957" s="162">
        <v>1</v>
      </c>
      <c r="AW1957" s="162">
        <v>1</v>
      </c>
      <c r="AX1957" s="162">
        <v>1</v>
      </c>
      <c r="AY1957" s="162">
        <v>1</v>
      </c>
      <c r="AZ1957" s="162">
        <v>1</v>
      </c>
      <c r="BA1957" s="162">
        <v>2</v>
      </c>
      <c r="BB1957" s="162">
        <v>1</v>
      </c>
      <c r="BC1957" s="162">
        <v>2</v>
      </c>
      <c r="BD1957" s="162">
        <v>2</v>
      </c>
      <c r="BE1957" s="162">
        <v>4</v>
      </c>
      <c r="BF1957" s="162">
        <v>2</v>
      </c>
      <c r="BG1957" s="162">
        <v>2</v>
      </c>
      <c r="BH1957" s="162">
        <v>3</v>
      </c>
      <c r="BI1957" s="162">
        <v>3</v>
      </c>
      <c r="BJ1957" s="162">
        <v>1</v>
      </c>
      <c r="BK1957" s="162"/>
      <c r="BL1957" s="162"/>
      <c r="BM1957" s="162"/>
      <c r="BN1957" s="162"/>
      <c r="BO1957" s="162"/>
    </row>
    <row r="1958" spans="1:67" x14ac:dyDescent="0.2">
      <c r="A1958" s="57">
        <v>122</v>
      </c>
      <c r="B1958" s="162" t="s">
        <v>3655</v>
      </c>
      <c r="C1958" s="195">
        <v>44600.897129629629</v>
      </c>
      <c r="D1958" s="55">
        <v>280</v>
      </c>
      <c r="I1958" s="46" t="s">
        <v>839</v>
      </c>
      <c r="J1958" s="162">
        <v>1</v>
      </c>
      <c r="K1958" s="162">
        <v>1</v>
      </c>
      <c r="L1958" s="162"/>
      <c r="M1958" s="162"/>
      <c r="N1958" s="162"/>
      <c r="O1958" s="162">
        <v>1</v>
      </c>
      <c r="P1958" s="162"/>
      <c r="Q1958" s="162"/>
      <c r="R1958" s="162"/>
      <c r="S1958" s="162">
        <v>1</v>
      </c>
      <c r="T1958" s="162"/>
      <c r="U1958" s="162"/>
      <c r="V1958" s="162"/>
      <c r="W1958" s="162">
        <v>1</v>
      </c>
      <c r="X1958" s="162"/>
      <c r="Y1958" s="162"/>
      <c r="Z1958" s="162"/>
      <c r="AA1958" s="162">
        <v>1</v>
      </c>
      <c r="AB1958" s="162"/>
      <c r="AC1958" s="162"/>
      <c r="AD1958" s="162"/>
      <c r="AE1958" s="162"/>
      <c r="AF1958" s="162"/>
      <c r="AG1958" s="162">
        <v>2</v>
      </c>
      <c r="AH1958" s="162"/>
      <c r="AI1958" s="162"/>
      <c r="AJ1958" s="162"/>
      <c r="AK1958" s="162"/>
      <c r="AL1958" s="162"/>
      <c r="AM1958" s="162">
        <v>3</v>
      </c>
      <c r="AN1958" s="162"/>
      <c r="AO1958" s="162"/>
      <c r="AP1958" s="162"/>
      <c r="AQ1958" s="162"/>
      <c r="AR1958" s="162"/>
      <c r="AS1958" s="162">
        <v>3</v>
      </c>
      <c r="AT1958" s="162">
        <v>1</v>
      </c>
      <c r="AU1958" s="162">
        <v>1</v>
      </c>
      <c r="AV1958" s="162"/>
      <c r="AW1958" s="162"/>
      <c r="AX1958" s="162"/>
      <c r="AY1958" s="162"/>
      <c r="AZ1958" s="162">
        <v>1</v>
      </c>
      <c r="BA1958" s="162">
        <v>1</v>
      </c>
      <c r="BB1958" s="162">
        <v>1</v>
      </c>
      <c r="BC1958" s="162">
        <v>1</v>
      </c>
      <c r="BD1958" s="162">
        <v>1</v>
      </c>
      <c r="BE1958" s="162">
        <v>2</v>
      </c>
      <c r="BF1958" s="162"/>
      <c r="BG1958" s="162"/>
      <c r="BH1958" s="162"/>
      <c r="BI1958" s="162"/>
      <c r="BJ1958" s="162">
        <v>1</v>
      </c>
      <c r="BK1958" s="162"/>
      <c r="BL1958" s="162"/>
      <c r="BM1958" s="162"/>
      <c r="BN1958" s="162"/>
      <c r="BO1958" s="162"/>
    </row>
    <row r="1959" spans="1:67" x14ac:dyDescent="0.2">
      <c r="A1959" s="57">
        <v>122</v>
      </c>
      <c r="B1959" s="162" t="s">
        <v>3655</v>
      </c>
      <c r="C1959" s="195">
        <v>44595.414097222223</v>
      </c>
      <c r="D1959" s="55">
        <v>280</v>
      </c>
      <c r="I1959" s="46" t="s">
        <v>839</v>
      </c>
      <c r="J1959" s="162">
        <v>1</v>
      </c>
      <c r="K1959" s="162">
        <v>1</v>
      </c>
      <c r="L1959" s="162"/>
      <c r="M1959" s="162"/>
      <c r="N1959" s="162"/>
      <c r="O1959" s="162">
        <v>1</v>
      </c>
      <c r="P1959" s="162"/>
      <c r="Q1959" s="162"/>
      <c r="R1959" s="162"/>
      <c r="S1959" s="162">
        <v>1</v>
      </c>
      <c r="T1959" s="162"/>
      <c r="U1959" s="162"/>
      <c r="V1959" s="162"/>
      <c r="W1959" s="162">
        <v>1</v>
      </c>
      <c r="X1959" s="162"/>
      <c r="Y1959" s="162"/>
      <c r="Z1959" s="162"/>
      <c r="AA1959" s="162">
        <v>2</v>
      </c>
      <c r="AB1959" s="162"/>
      <c r="AC1959" s="162"/>
      <c r="AD1959" s="162"/>
      <c r="AE1959" s="162"/>
      <c r="AF1959" s="162"/>
      <c r="AG1959" s="162">
        <v>3</v>
      </c>
      <c r="AH1959" s="162">
        <v>3</v>
      </c>
      <c r="AI1959" s="162">
        <v>2</v>
      </c>
      <c r="AJ1959" s="162">
        <v>1</v>
      </c>
      <c r="AK1959" s="162">
        <v>3</v>
      </c>
      <c r="AL1959" s="162">
        <v>3</v>
      </c>
      <c r="AM1959" s="162">
        <v>3</v>
      </c>
      <c r="AN1959" s="162"/>
      <c r="AO1959" s="162"/>
      <c r="AP1959" s="162"/>
      <c r="AQ1959" s="162"/>
      <c r="AR1959" s="162"/>
      <c r="AS1959" s="162">
        <v>1</v>
      </c>
      <c r="AT1959" s="162">
        <v>2</v>
      </c>
      <c r="AU1959" s="162">
        <v>2</v>
      </c>
      <c r="AV1959" s="162"/>
      <c r="AW1959" s="162"/>
      <c r="AX1959" s="162"/>
      <c r="AY1959" s="162"/>
      <c r="AZ1959" s="162">
        <v>2</v>
      </c>
      <c r="BA1959" s="162">
        <v>3</v>
      </c>
      <c r="BB1959" s="162">
        <v>3</v>
      </c>
      <c r="BC1959" s="162">
        <v>3</v>
      </c>
      <c r="BD1959" s="162">
        <v>3</v>
      </c>
      <c r="BE1959" s="162">
        <v>2</v>
      </c>
      <c r="BF1959" s="162"/>
      <c r="BG1959" s="162"/>
      <c r="BH1959" s="162"/>
      <c r="BI1959" s="162"/>
      <c r="BJ1959" s="162">
        <v>1</v>
      </c>
      <c r="BK1959" s="162"/>
      <c r="BL1959" s="162"/>
      <c r="BM1959" s="162"/>
      <c r="BN1959" s="162"/>
      <c r="BO1959" s="162"/>
    </row>
    <row r="1960" spans="1:67" x14ac:dyDescent="0.2">
      <c r="A1960" s="57">
        <v>122</v>
      </c>
      <c r="B1960" s="162" t="s">
        <v>3655</v>
      </c>
      <c r="C1960" s="195">
        <v>44593.581550925926</v>
      </c>
      <c r="D1960" s="55">
        <v>280</v>
      </c>
      <c r="I1960" s="46" t="s">
        <v>839</v>
      </c>
      <c r="J1960" s="162">
        <v>2</v>
      </c>
      <c r="K1960" s="162">
        <v>2</v>
      </c>
      <c r="L1960" s="162"/>
      <c r="M1960" s="162"/>
      <c r="N1960" s="162"/>
      <c r="O1960" s="162">
        <v>3</v>
      </c>
      <c r="P1960" s="162">
        <v>2</v>
      </c>
      <c r="Q1960" s="162">
        <v>2</v>
      </c>
      <c r="R1960" s="162">
        <v>1</v>
      </c>
      <c r="S1960" s="162">
        <v>1</v>
      </c>
      <c r="T1960" s="162"/>
      <c r="U1960" s="162"/>
      <c r="V1960" s="162"/>
      <c r="W1960" s="162">
        <v>2</v>
      </c>
      <c r="X1960" s="162"/>
      <c r="Y1960" s="162"/>
      <c r="Z1960" s="162"/>
      <c r="AA1960" s="162">
        <v>4</v>
      </c>
      <c r="AB1960" s="162">
        <v>1</v>
      </c>
      <c r="AC1960" s="162">
        <v>1</v>
      </c>
      <c r="AD1960" s="162">
        <v>2</v>
      </c>
      <c r="AE1960" s="162">
        <v>2</v>
      </c>
      <c r="AF1960" s="162">
        <v>3</v>
      </c>
      <c r="AG1960" s="162">
        <v>3</v>
      </c>
      <c r="AH1960" s="162">
        <v>2</v>
      </c>
      <c r="AI1960" s="162">
        <v>1</v>
      </c>
      <c r="AJ1960" s="162">
        <v>3</v>
      </c>
      <c r="AK1960" s="162">
        <v>2</v>
      </c>
      <c r="AL1960" s="162">
        <v>2</v>
      </c>
      <c r="AM1960" s="162">
        <v>4</v>
      </c>
      <c r="AN1960" s="162"/>
      <c r="AO1960" s="162"/>
      <c r="AP1960" s="162"/>
      <c r="AQ1960" s="162"/>
      <c r="AR1960" s="162"/>
      <c r="AS1960" s="162">
        <v>2</v>
      </c>
      <c r="AT1960" s="162">
        <v>4</v>
      </c>
      <c r="AU1960" s="162">
        <v>1</v>
      </c>
      <c r="AV1960" s="162"/>
      <c r="AW1960" s="162"/>
      <c r="AX1960" s="162"/>
      <c r="AY1960" s="162"/>
      <c r="AZ1960" s="162">
        <v>1</v>
      </c>
      <c r="BA1960" s="162">
        <v>1</v>
      </c>
      <c r="BB1960" s="162">
        <v>1</v>
      </c>
      <c r="BC1960" s="162">
        <v>1</v>
      </c>
      <c r="BD1960" s="162">
        <v>1</v>
      </c>
      <c r="BE1960" s="162">
        <v>4</v>
      </c>
      <c r="BF1960" s="162">
        <v>3</v>
      </c>
      <c r="BG1960" s="162">
        <v>2</v>
      </c>
      <c r="BH1960" s="162">
        <v>1</v>
      </c>
      <c r="BI1960" s="162">
        <v>3</v>
      </c>
      <c r="BJ1960" s="162">
        <v>1</v>
      </c>
      <c r="BK1960" s="162"/>
      <c r="BL1960" s="162"/>
      <c r="BM1960" s="162"/>
      <c r="BN1960" s="162"/>
      <c r="BO1960" s="162"/>
    </row>
    <row r="1961" spans="1:67" x14ac:dyDescent="0.2">
      <c r="A1961" s="57">
        <v>122</v>
      </c>
      <c r="B1961" s="162" t="s">
        <v>3655</v>
      </c>
      <c r="C1961" s="195">
        <v>44593.347013888888</v>
      </c>
      <c r="D1961" s="55">
        <v>280</v>
      </c>
      <c r="I1961" s="46" t="s">
        <v>839</v>
      </c>
      <c r="J1961" s="162">
        <v>1</v>
      </c>
      <c r="K1961" s="162">
        <v>1</v>
      </c>
      <c r="L1961" s="162"/>
      <c r="M1961" s="162"/>
      <c r="N1961" s="162"/>
      <c r="O1961" s="162">
        <v>1</v>
      </c>
      <c r="P1961" s="162"/>
      <c r="Q1961" s="162"/>
      <c r="R1961" s="162"/>
      <c r="S1961" s="162">
        <v>2</v>
      </c>
      <c r="T1961" s="162"/>
      <c r="U1961" s="162"/>
      <c r="V1961" s="162"/>
      <c r="W1961" s="162">
        <v>1</v>
      </c>
      <c r="X1961" s="162"/>
      <c r="Y1961" s="162"/>
      <c r="Z1961" s="162"/>
      <c r="AA1961" s="162">
        <v>1</v>
      </c>
      <c r="AB1961" s="162"/>
      <c r="AC1961" s="162"/>
      <c r="AD1961" s="162"/>
      <c r="AE1961" s="162"/>
      <c r="AF1961" s="162"/>
      <c r="AG1961" s="162">
        <v>1</v>
      </c>
      <c r="AH1961" s="162"/>
      <c r="AI1961" s="162"/>
      <c r="AJ1961" s="162"/>
      <c r="AK1961" s="162"/>
      <c r="AL1961" s="162"/>
      <c r="AM1961" s="162">
        <v>4</v>
      </c>
      <c r="AN1961" s="162"/>
      <c r="AO1961" s="162"/>
      <c r="AP1961" s="162"/>
      <c r="AQ1961" s="162"/>
      <c r="AR1961" s="162"/>
      <c r="AS1961" s="162">
        <v>4</v>
      </c>
      <c r="AT1961" s="162">
        <v>1</v>
      </c>
      <c r="AU1961" s="162">
        <v>1</v>
      </c>
      <c r="AV1961" s="162"/>
      <c r="AW1961" s="162"/>
      <c r="AX1961" s="162"/>
      <c r="AY1961" s="162"/>
      <c r="AZ1961" s="162">
        <v>1</v>
      </c>
      <c r="BA1961" s="162">
        <v>3</v>
      </c>
      <c r="BB1961" s="162">
        <v>3</v>
      </c>
      <c r="BC1961" s="162">
        <v>3</v>
      </c>
      <c r="BD1961" s="162">
        <v>3</v>
      </c>
      <c r="BE1961" s="162">
        <v>1</v>
      </c>
      <c r="BF1961" s="162"/>
      <c r="BG1961" s="162"/>
      <c r="BH1961" s="162"/>
      <c r="BI1961" s="162"/>
      <c r="BJ1961" s="162">
        <v>1</v>
      </c>
      <c r="BK1961" s="162"/>
      <c r="BL1961" s="162"/>
      <c r="BM1961" s="162"/>
      <c r="BN1961" s="162"/>
      <c r="BO1961" s="162"/>
    </row>
    <row r="1962" spans="1:67" x14ac:dyDescent="0.2">
      <c r="A1962" s="57">
        <v>122</v>
      </c>
      <c r="B1962" s="162" t="s">
        <v>3655</v>
      </c>
      <c r="C1962" s="195">
        <v>44593.345613425925</v>
      </c>
      <c r="D1962" s="55">
        <v>280</v>
      </c>
      <c r="I1962" s="46" t="s">
        <v>839</v>
      </c>
      <c r="J1962" s="162">
        <v>1</v>
      </c>
      <c r="K1962" s="162">
        <v>1</v>
      </c>
      <c r="L1962" s="162"/>
      <c r="M1962" s="162"/>
      <c r="N1962" s="162"/>
      <c r="O1962" s="162">
        <v>1</v>
      </c>
      <c r="P1962" s="162"/>
      <c r="Q1962" s="162"/>
      <c r="R1962" s="162"/>
      <c r="S1962" s="162">
        <v>1</v>
      </c>
      <c r="T1962" s="162"/>
      <c r="U1962" s="162"/>
      <c r="V1962" s="162"/>
      <c r="W1962" s="162">
        <v>1</v>
      </c>
      <c r="X1962" s="162"/>
      <c r="Y1962" s="162"/>
      <c r="Z1962" s="162"/>
      <c r="AA1962" s="162">
        <v>1</v>
      </c>
      <c r="AB1962" s="162"/>
      <c r="AC1962" s="162"/>
      <c r="AD1962" s="162"/>
      <c r="AE1962" s="162"/>
      <c r="AF1962" s="162"/>
      <c r="AG1962" s="162">
        <v>4</v>
      </c>
      <c r="AH1962" s="162">
        <v>3</v>
      </c>
      <c r="AI1962" s="162">
        <v>3</v>
      </c>
      <c r="AJ1962" s="162">
        <v>3</v>
      </c>
      <c r="AK1962" s="162">
        <v>3</v>
      </c>
      <c r="AL1962" s="162">
        <v>3</v>
      </c>
      <c r="AM1962" s="162">
        <v>1</v>
      </c>
      <c r="AN1962" s="162">
        <v>1</v>
      </c>
      <c r="AO1962" s="162">
        <v>1</v>
      </c>
      <c r="AP1962" s="162">
        <v>1</v>
      </c>
      <c r="AQ1962" s="162">
        <v>3</v>
      </c>
      <c r="AR1962" s="162">
        <v>3</v>
      </c>
      <c r="AS1962" s="162">
        <v>4</v>
      </c>
      <c r="AT1962" s="162">
        <v>1</v>
      </c>
      <c r="AU1962" s="162">
        <v>1</v>
      </c>
      <c r="AV1962" s="162"/>
      <c r="AW1962" s="162"/>
      <c r="AX1962" s="162"/>
      <c r="AY1962" s="162"/>
      <c r="AZ1962" s="162">
        <v>1</v>
      </c>
      <c r="BA1962" s="162">
        <v>1</v>
      </c>
      <c r="BB1962" s="162">
        <v>1</v>
      </c>
      <c r="BC1962" s="162">
        <v>1</v>
      </c>
      <c r="BD1962" s="162">
        <v>1</v>
      </c>
      <c r="BE1962" s="162">
        <v>1</v>
      </c>
      <c r="BF1962" s="162"/>
      <c r="BG1962" s="162"/>
      <c r="BH1962" s="162"/>
      <c r="BI1962" s="162"/>
      <c r="BJ1962" s="162">
        <v>1</v>
      </c>
      <c r="BK1962" s="162"/>
      <c r="BL1962" s="162"/>
      <c r="BM1962" s="162"/>
      <c r="BN1962" s="162"/>
      <c r="BO1962" s="162"/>
    </row>
    <row r="1963" spans="1:67" x14ac:dyDescent="0.2">
      <c r="A1963" s="57">
        <v>1221</v>
      </c>
      <c r="B1963" s="162" t="s">
        <v>3655</v>
      </c>
      <c r="C1963" s="195">
        <v>44571.189259259256</v>
      </c>
      <c r="D1963" s="55">
        <v>280</v>
      </c>
      <c r="I1963" s="46" t="s">
        <v>839</v>
      </c>
      <c r="J1963" s="162">
        <v>4</v>
      </c>
      <c r="K1963" s="162">
        <v>4</v>
      </c>
      <c r="L1963" s="162">
        <v>2</v>
      </c>
      <c r="M1963" s="162">
        <v>2</v>
      </c>
      <c r="N1963" s="162">
        <v>2</v>
      </c>
      <c r="O1963" s="162">
        <v>4</v>
      </c>
      <c r="P1963" s="162">
        <v>2</v>
      </c>
      <c r="Q1963" s="162">
        <v>2</v>
      </c>
      <c r="R1963" s="162">
        <v>2</v>
      </c>
      <c r="S1963" s="162">
        <v>4</v>
      </c>
      <c r="T1963" s="162">
        <v>2</v>
      </c>
      <c r="U1963" s="162">
        <v>2</v>
      </c>
      <c r="V1963" s="162">
        <v>2</v>
      </c>
      <c r="W1963" s="162">
        <v>4</v>
      </c>
      <c r="X1963" s="162">
        <v>2</v>
      </c>
      <c r="Y1963" s="162">
        <v>2</v>
      </c>
      <c r="Z1963" s="162">
        <v>2</v>
      </c>
      <c r="AA1963" s="162">
        <v>4</v>
      </c>
      <c r="AB1963" s="162">
        <v>2</v>
      </c>
      <c r="AC1963" s="162">
        <v>2</v>
      </c>
      <c r="AD1963" s="162">
        <v>2</v>
      </c>
      <c r="AE1963" s="162">
        <v>1</v>
      </c>
      <c r="AF1963" s="162">
        <v>1</v>
      </c>
      <c r="AG1963" s="162">
        <v>4</v>
      </c>
      <c r="AH1963" s="162">
        <v>2</v>
      </c>
      <c r="AI1963" s="162">
        <v>1</v>
      </c>
      <c r="AJ1963" s="162">
        <v>1</v>
      </c>
      <c r="AK1963" s="162">
        <v>1</v>
      </c>
      <c r="AL1963" s="162">
        <v>2</v>
      </c>
      <c r="AM1963" s="162">
        <v>4</v>
      </c>
      <c r="AN1963" s="162"/>
      <c r="AO1963" s="162"/>
      <c r="AP1963" s="162"/>
      <c r="AQ1963" s="162"/>
      <c r="AR1963" s="162"/>
      <c r="AS1963" s="162">
        <v>4</v>
      </c>
      <c r="AT1963" s="162">
        <v>4</v>
      </c>
      <c r="AU1963" s="162">
        <v>1</v>
      </c>
      <c r="AV1963" s="162"/>
      <c r="AW1963" s="162"/>
      <c r="AX1963" s="162"/>
      <c r="AY1963" s="162"/>
      <c r="AZ1963" s="162">
        <v>1</v>
      </c>
      <c r="BA1963" s="162">
        <v>1</v>
      </c>
      <c r="BB1963" s="162">
        <v>1</v>
      </c>
      <c r="BC1963" s="162">
        <v>1</v>
      </c>
      <c r="BD1963" s="162">
        <v>1</v>
      </c>
      <c r="BE1963" s="162">
        <v>4</v>
      </c>
      <c r="BF1963" s="162">
        <v>2</v>
      </c>
      <c r="BG1963" s="162">
        <v>2</v>
      </c>
      <c r="BH1963" s="162">
        <v>2</v>
      </c>
      <c r="BI1963" s="162">
        <v>2</v>
      </c>
      <c r="BJ1963" s="162">
        <v>4</v>
      </c>
      <c r="BK1963" s="162">
        <v>1</v>
      </c>
      <c r="BL1963" s="162">
        <v>2</v>
      </c>
      <c r="BM1963" s="162">
        <v>3</v>
      </c>
      <c r="BN1963" s="162">
        <v>3</v>
      </c>
      <c r="BO1963" s="162"/>
    </row>
    <row r="1964" spans="1:67" x14ac:dyDescent="0.2">
      <c r="A1964" s="57">
        <v>1221</v>
      </c>
      <c r="B1964" s="162" t="s">
        <v>3655</v>
      </c>
      <c r="C1964" s="195">
        <v>44564.836493055554</v>
      </c>
      <c r="D1964" s="55">
        <v>280</v>
      </c>
      <c r="I1964" s="46" t="s">
        <v>839</v>
      </c>
      <c r="J1964" s="162">
        <v>1</v>
      </c>
      <c r="K1964" s="162">
        <v>1</v>
      </c>
      <c r="L1964" s="162"/>
      <c r="M1964" s="162"/>
      <c r="N1964" s="162"/>
      <c r="O1964" s="162">
        <v>1</v>
      </c>
      <c r="P1964" s="162"/>
      <c r="Q1964" s="162"/>
      <c r="R1964" s="162"/>
      <c r="S1964" s="162">
        <v>1</v>
      </c>
      <c r="T1964" s="162"/>
      <c r="U1964" s="162"/>
      <c r="V1964" s="162"/>
      <c r="W1964" s="162">
        <v>1</v>
      </c>
      <c r="X1964" s="162"/>
      <c r="Y1964" s="162"/>
      <c r="Z1964" s="162"/>
      <c r="AA1964" s="162">
        <v>1</v>
      </c>
      <c r="AB1964" s="162"/>
      <c r="AC1964" s="162"/>
      <c r="AD1964" s="162"/>
      <c r="AE1964" s="162"/>
      <c r="AF1964" s="162"/>
      <c r="AG1964" s="162">
        <v>1</v>
      </c>
      <c r="AH1964" s="162"/>
      <c r="AI1964" s="162"/>
      <c r="AJ1964" s="162"/>
      <c r="AK1964" s="162"/>
      <c r="AL1964" s="162"/>
      <c r="AM1964" s="162">
        <v>1</v>
      </c>
      <c r="AN1964" s="162">
        <v>1</v>
      </c>
      <c r="AO1964" s="162">
        <v>1</v>
      </c>
      <c r="AP1964" s="162">
        <v>1</v>
      </c>
      <c r="AQ1964" s="162">
        <v>1</v>
      </c>
      <c r="AR1964" s="162">
        <v>1</v>
      </c>
      <c r="AS1964" s="162">
        <v>1</v>
      </c>
      <c r="AT1964" s="162">
        <v>1</v>
      </c>
      <c r="AU1964" s="162">
        <v>1</v>
      </c>
      <c r="AV1964" s="162"/>
      <c r="AW1964" s="162"/>
      <c r="AX1964" s="162"/>
      <c r="AY1964" s="162"/>
      <c r="AZ1964" s="162">
        <v>1</v>
      </c>
      <c r="BA1964" s="162">
        <v>1</v>
      </c>
      <c r="BB1964" s="162">
        <v>1</v>
      </c>
      <c r="BC1964" s="162">
        <v>1</v>
      </c>
      <c r="BD1964" s="162">
        <v>1</v>
      </c>
      <c r="BE1964" s="162">
        <v>1</v>
      </c>
      <c r="BF1964" s="162"/>
      <c r="BG1964" s="162"/>
      <c r="BH1964" s="162"/>
      <c r="BI1964" s="162"/>
      <c r="BJ1964" s="162">
        <v>1</v>
      </c>
      <c r="BK1964" s="162"/>
      <c r="BL1964" s="162"/>
      <c r="BM1964" s="162"/>
      <c r="BN1964" s="162"/>
      <c r="BO1964" s="162"/>
    </row>
    <row r="1965" spans="1:67" x14ac:dyDescent="0.2">
      <c r="A1965" s="57">
        <v>1221</v>
      </c>
      <c r="B1965" s="162" t="s">
        <v>3655</v>
      </c>
      <c r="C1965" s="195">
        <v>44564.452615740738</v>
      </c>
      <c r="D1965" s="55">
        <v>280</v>
      </c>
      <c r="I1965" s="46" t="s">
        <v>839</v>
      </c>
      <c r="J1965" s="162">
        <v>3</v>
      </c>
      <c r="K1965" s="162">
        <v>3</v>
      </c>
      <c r="L1965" s="162">
        <v>1</v>
      </c>
      <c r="M1965" s="162">
        <v>3</v>
      </c>
      <c r="N1965" s="162">
        <v>3</v>
      </c>
      <c r="O1965" s="162">
        <v>3</v>
      </c>
      <c r="P1965" s="162">
        <v>2</v>
      </c>
      <c r="Q1965" s="162">
        <v>3</v>
      </c>
      <c r="R1965" s="162">
        <v>3</v>
      </c>
      <c r="S1965" s="162">
        <v>1</v>
      </c>
      <c r="T1965" s="162"/>
      <c r="U1965" s="162"/>
      <c r="V1965" s="162"/>
      <c r="W1965" s="162">
        <v>2</v>
      </c>
      <c r="X1965" s="162"/>
      <c r="Y1965" s="162"/>
      <c r="Z1965" s="162"/>
      <c r="AA1965" s="162">
        <v>3</v>
      </c>
      <c r="AB1965" s="162">
        <v>1</v>
      </c>
      <c r="AC1965" s="162">
        <v>3</v>
      </c>
      <c r="AD1965" s="162">
        <v>3</v>
      </c>
      <c r="AE1965" s="162">
        <v>3</v>
      </c>
      <c r="AF1965" s="162">
        <v>2</v>
      </c>
      <c r="AG1965" s="162">
        <v>4</v>
      </c>
      <c r="AH1965" s="162">
        <v>2</v>
      </c>
      <c r="AI1965" s="162">
        <v>3</v>
      </c>
      <c r="AJ1965" s="162">
        <v>3</v>
      </c>
      <c r="AK1965" s="162">
        <v>2</v>
      </c>
      <c r="AL1965" s="162">
        <v>2</v>
      </c>
      <c r="AM1965" s="162">
        <v>3</v>
      </c>
      <c r="AN1965" s="162"/>
      <c r="AO1965" s="162"/>
      <c r="AP1965" s="162"/>
      <c r="AQ1965" s="162"/>
      <c r="AR1965" s="162"/>
      <c r="AS1965" s="162">
        <v>3</v>
      </c>
      <c r="AT1965" s="162">
        <v>3</v>
      </c>
      <c r="AU1965" s="162">
        <v>2</v>
      </c>
      <c r="AV1965" s="162"/>
      <c r="AW1965" s="162"/>
      <c r="AX1965" s="162"/>
      <c r="AY1965" s="162"/>
      <c r="AZ1965" s="162">
        <v>2</v>
      </c>
      <c r="BA1965" s="162">
        <v>1</v>
      </c>
      <c r="BB1965" s="162">
        <v>1</v>
      </c>
      <c r="BC1965" s="162">
        <v>1</v>
      </c>
      <c r="BD1965" s="162">
        <v>1</v>
      </c>
      <c r="BE1965" s="162">
        <v>3</v>
      </c>
      <c r="BF1965" s="162">
        <v>2</v>
      </c>
      <c r="BG1965" s="162">
        <v>2</v>
      </c>
      <c r="BH1965" s="162">
        <v>2</v>
      </c>
      <c r="BI1965" s="162">
        <v>2</v>
      </c>
      <c r="BJ1965" s="162">
        <v>3</v>
      </c>
      <c r="BK1965" s="162">
        <v>1</v>
      </c>
      <c r="BL1965" s="162">
        <v>2</v>
      </c>
      <c r="BM1965" s="162">
        <v>3</v>
      </c>
      <c r="BN1965" s="162">
        <v>2</v>
      </c>
      <c r="BO1965" s="162"/>
    </row>
    <row r="1966" spans="1:67" x14ac:dyDescent="0.2">
      <c r="A1966" s="57">
        <v>1221</v>
      </c>
      <c r="B1966" s="162" t="s">
        <v>3655</v>
      </c>
      <c r="C1966" s="195">
        <v>44564.447962962964</v>
      </c>
      <c r="D1966" s="55">
        <v>280</v>
      </c>
      <c r="I1966" s="46" t="s">
        <v>839</v>
      </c>
      <c r="J1966" s="162">
        <v>1</v>
      </c>
      <c r="K1966" s="162">
        <v>1</v>
      </c>
      <c r="L1966" s="162"/>
      <c r="M1966" s="162"/>
      <c r="N1966" s="162"/>
      <c r="O1966" s="162">
        <v>1</v>
      </c>
      <c r="P1966" s="162"/>
      <c r="Q1966" s="162"/>
      <c r="R1966" s="162"/>
      <c r="S1966" s="162">
        <v>1</v>
      </c>
      <c r="T1966" s="162"/>
      <c r="U1966" s="162"/>
      <c r="V1966" s="162"/>
      <c r="W1966" s="162">
        <v>1</v>
      </c>
      <c r="X1966" s="162"/>
      <c r="Y1966" s="162"/>
      <c r="Z1966" s="162"/>
      <c r="AA1966" s="162">
        <v>1</v>
      </c>
      <c r="AB1966" s="162"/>
      <c r="AC1966" s="162"/>
      <c r="AD1966" s="162"/>
      <c r="AE1966" s="162"/>
      <c r="AF1966" s="162"/>
      <c r="AG1966" s="162">
        <v>2</v>
      </c>
      <c r="AH1966" s="162"/>
      <c r="AI1966" s="162"/>
      <c r="AJ1966" s="162"/>
      <c r="AK1966" s="162"/>
      <c r="AL1966" s="162"/>
      <c r="AM1966" s="162">
        <v>4</v>
      </c>
      <c r="AN1966" s="162"/>
      <c r="AO1966" s="162"/>
      <c r="AP1966" s="162"/>
      <c r="AQ1966" s="162"/>
      <c r="AR1966" s="162"/>
      <c r="AS1966" s="162">
        <v>4</v>
      </c>
      <c r="AT1966" s="162">
        <v>1</v>
      </c>
      <c r="AU1966" s="162">
        <v>1</v>
      </c>
      <c r="AV1966" s="162"/>
      <c r="AW1966" s="162"/>
      <c r="AX1966" s="162"/>
      <c r="AY1966" s="162"/>
      <c r="AZ1966" s="162">
        <v>1</v>
      </c>
      <c r="BA1966" s="162">
        <v>1</v>
      </c>
      <c r="BB1966" s="162">
        <v>1</v>
      </c>
      <c r="BC1966" s="162">
        <v>1</v>
      </c>
      <c r="BD1966" s="162">
        <v>1</v>
      </c>
      <c r="BE1966" s="162">
        <v>1</v>
      </c>
      <c r="BF1966" s="162"/>
      <c r="BG1966" s="162"/>
      <c r="BH1966" s="162"/>
      <c r="BI1966" s="162"/>
      <c r="BJ1966" s="162">
        <v>1</v>
      </c>
      <c r="BK1966" s="162"/>
      <c r="BL1966" s="162"/>
      <c r="BM1966" s="162"/>
      <c r="BN1966" s="162"/>
      <c r="BO1966" s="162"/>
    </row>
    <row r="1967" spans="1:67" x14ac:dyDescent="0.2">
      <c r="A1967" s="57">
        <v>1221</v>
      </c>
      <c r="B1967" s="162" t="s">
        <v>3655</v>
      </c>
      <c r="C1967" s="195">
        <v>44564.370416666665</v>
      </c>
      <c r="D1967" s="55">
        <v>280</v>
      </c>
      <c r="I1967" s="46" t="s">
        <v>839</v>
      </c>
      <c r="J1967" s="162">
        <v>4</v>
      </c>
      <c r="K1967" s="162">
        <v>4</v>
      </c>
      <c r="L1967" s="162">
        <v>2</v>
      </c>
      <c r="M1967" s="162">
        <v>2</v>
      </c>
      <c r="N1967" s="162">
        <v>2</v>
      </c>
      <c r="O1967" s="162">
        <v>4</v>
      </c>
      <c r="P1967" s="162">
        <v>2</v>
      </c>
      <c r="Q1967" s="162">
        <v>2</v>
      </c>
      <c r="R1967" s="162">
        <v>2</v>
      </c>
      <c r="S1967" s="162">
        <v>2</v>
      </c>
      <c r="T1967" s="162"/>
      <c r="U1967" s="162"/>
      <c r="V1967" s="162"/>
      <c r="W1967" s="162">
        <v>4</v>
      </c>
      <c r="X1967" s="162">
        <v>1</v>
      </c>
      <c r="Y1967" s="162">
        <v>1</v>
      </c>
      <c r="Z1967" s="162">
        <v>2</v>
      </c>
      <c r="AA1967" s="162">
        <v>4</v>
      </c>
      <c r="AB1967" s="162">
        <v>1</v>
      </c>
      <c r="AC1967" s="162">
        <v>2</v>
      </c>
      <c r="AD1967" s="162">
        <v>2</v>
      </c>
      <c r="AE1967" s="162">
        <v>2</v>
      </c>
      <c r="AF1967" s="162">
        <v>2</v>
      </c>
      <c r="AG1967" s="162">
        <v>4</v>
      </c>
      <c r="AH1967" s="162">
        <v>2</v>
      </c>
      <c r="AI1967" s="162">
        <v>1</v>
      </c>
      <c r="AJ1967" s="162">
        <v>2</v>
      </c>
      <c r="AK1967" s="162">
        <v>2</v>
      </c>
      <c r="AL1967" s="162">
        <v>2</v>
      </c>
      <c r="AM1967" s="162">
        <v>1</v>
      </c>
      <c r="AN1967" s="162">
        <v>1</v>
      </c>
      <c r="AO1967" s="162">
        <v>2</v>
      </c>
      <c r="AP1967" s="162">
        <v>2</v>
      </c>
      <c r="AQ1967" s="162">
        <v>2</v>
      </c>
      <c r="AR1967" s="162">
        <v>1</v>
      </c>
      <c r="AS1967" s="162">
        <v>3</v>
      </c>
      <c r="AT1967" s="162">
        <v>4</v>
      </c>
      <c r="AU1967" s="162">
        <v>4</v>
      </c>
      <c r="AV1967" s="162">
        <v>1</v>
      </c>
      <c r="AW1967" s="162">
        <v>2</v>
      </c>
      <c r="AX1967" s="162">
        <v>2</v>
      </c>
      <c r="AY1967" s="162">
        <v>2</v>
      </c>
      <c r="AZ1967" s="162">
        <v>1</v>
      </c>
      <c r="BA1967" s="162">
        <v>1</v>
      </c>
      <c r="BB1967" s="162">
        <v>1</v>
      </c>
      <c r="BC1967" s="162">
        <v>1</v>
      </c>
      <c r="BD1967" s="162">
        <v>2</v>
      </c>
      <c r="BE1967" s="162">
        <v>4</v>
      </c>
      <c r="BF1967" s="162">
        <v>2</v>
      </c>
      <c r="BG1967" s="162">
        <v>2</v>
      </c>
      <c r="BH1967" s="162">
        <v>2</v>
      </c>
      <c r="BI1967" s="162">
        <v>2</v>
      </c>
      <c r="BJ1967" s="162">
        <v>4</v>
      </c>
      <c r="BK1967" s="162">
        <v>1</v>
      </c>
      <c r="BL1967" s="162">
        <v>2</v>
      </c>
      <c r="BM1967" s="162">
        <v>3</v>
      </c>
      <c r="BN1967" s="162">
        <v>2</v>
      </c>
      <c r="BO1967" s="162"/>
    </row>
    <row r="1968" spans="1:67" x14ac:dyDescent="0.2">
      <c r="A1968" s="57">
        <v>1221</v>
      </c>
      <c r="B1968" s="162" t="s">
        <v>3655</v>
      </c>
      <c r="C1968" s="195">
        <v>44564.366365740738</v>
      </c>
      <c r="D1968" s="55">
        <v>280</v>
      </c>
      <c r="I1968" s="46" t="s">
        <v>839</v>
      </c>
      <c r="J1968" s="162">
        <v>4</v>
      </c>
      <c r="K1968" s="162">
        <v>4</v>
      </c>
      <c r="L1968" s="162">
        <v>3</v>
      </c>
      <c r="M1968" s="162">
        <v>2</v>
      </c>
      <c r="N1968" s="162">
        <v>2</v>
      </c>
      <c r="O1968" s="162">
        <v>4</v>
      </c>
      <c r="P1968" s="162">
        <v>2</v>
      </c>
      <c r="Q1968" s="162">
        <v>2</v>
      </c>
      <c r="R1968" s="162">
        <v>2</v>
      </c>
      <c r="S1968" s="162">
        <v>4</v>
      </c>
      <c r="T1968" s="162">
        <v>2</v>
      </c>
      <c r="U1968" s="162">
        <v>2</v>
      </c>
      <c r="V1968" s="162">
        <v>2</v>
      </c>
      <c r="W1968" s="162">
        <v>4</v>
      </c>
      <c r="X1968" s="162">
        <v>2</v>
      </c>
      <c r="Y1968" s="162">
        <v>2</v>
      </c>
      <c r="Z1968" s="162">
        <v>2</v>
      </c>
      <c r="AA1968" s="162">
        <v>4</v>
      </c>
      <c r="AB1968" s="162">
        <v>2</v>
      </c>
      <c r="AC1968" s="162">
        <v>2</v>
      </c>
      <c r="AD1968" s="162">
        <v>2</v>
      </c>
      <c r="AE1968" s="162">
        <v>2</v>
      </c>
      <c r="AF1968" s="162">
        <v>2</v>
      </c>
      <c r="AG1968" s="162">
        <v>3</v>
      </c>
      <c r="AH1968" s="162">
        <v>2</v>
      </c>
      <c r="AI1968" s="162">
        <v>3</v>
      </c>
      <c r="AJ1968" s="162">
        <v>2</v>
      </c>
      <c r="AK1968" s="162">
        <v>2</v>
      </c>
      <c r="AL1968" s="162">
        <v>2</v>
      </c>
      <c r="AM1968" s="162">
        <v>3</v>
      </c>
      <c r="AN1968" s="162"/>
      <c r="AO1968" s="162"/>
      <c r="AP1968" s="162"/>
      <c r="AQ1968" s="162"/>
      <c r="AR1968" s="162"/>
      <c r="AS1968" s="162">
        <v>4</v>
      </c>
      <c r="AT1968" s="162">
        <v>3</v>
      </c>
      <c r="AU1968" s="162">
        <v>3</v>
      </c>
      <c r="AV1968" s="162">
        <v>2</v>
      </c>
      <c r="AW1968" s="162">
        <v>2</v>
      </c>
      <c r="AX1968" s="162">
        <v>3</v>
      </c>
      <c r="AY1968" s="162">
        <v>2</v>
      </c>
      <c r="AZ1968" s="162">
        <v>1</v>
      </c>
      <c r="BA1968" s="162">
        <v>1</v>
      </c>
      <c r="BB1968" s="162">
        <v>1</v>
      </c>
      <c r="BC1968" s="162">
        <v>3</v>
      </c>
      <c r="BD1968" s="162">
        <v>1</v>
      </c>
      <c r="BE1968" s="162">
        <v>4</v>
      </c>
      <c r="BF1968" s="162">
        <v>2</v>
      </c>
      <c r="BG1968" s="162">
        <v>2</v>
      </c>
      <c r="BH1968" s="162">
        <v>2</v>
      </c>
      <c r="BI1968" s="162">
        <v>3</v>
      </c>
      <c r="BJ1968" s="162">
        <v>4</v>
      </c>
      <c r="BK1968" s="162">
        <v>2</v>
      </c>
      <c r="BL1968" s="162">
        <v>2</v>
      </c>
      <c r="BM1968" s="162">
        <v>2</v>
      </c>
      <c r="BN1968" s="162">
        <v>2</v>
      </c>
      <c r="BO1968" s="162"/>
    </row>
    <row r="1969" spans="1:67" x14ac:dyDescent="0.2">
      <c r="A1969" s="57">
        <v>1221</v>
      </c>
      <c r="B1969" s="162" t="s">
        <v>3655</v>
      </c>
      <c r="C1969" s="195">
        <v>44564.352986111109</v>
      </c>
      <c r="D1969" s="55">
        <v>280</v>
      </c>
      <c r="I1969" s="46" t="s">
        <v>839</v>
      </c>
      <c r="J1969" s="162">
        <v>1</v>
      </c>
      <c r="K1969" s="162">
        <v>1</v>
      </c>
      <c r="L1969" s="162"/>
      <c r="M1969" s="162"/>
      <c r="N1969" s="162"/>
      <c r="O1969" s="162">
        <v>1</v>
      </c>
      <c r="P1969" s="162"/>
      <c r="Q1969" s="162"/>
      <c r="R1969" s="162"/>
      <c r="S1969" s="162">
        <v>1</v>
      </c>
      <c r="T1969" s="162"/>
      <c r="U1969" s="162"/>
      <c r="V1969" s="162"/>
      <c r="W1969" s="162">
        <v>1</v>
      </c>
      <c r="X1969" s="162"/>
      <c r="Y1969" s="162"/>
      <c r="Z1969" s="162"/>
      <c r="AA1969" s="162">
        <v>2</v>
      </c>
      <c r="AB1969" s="162"/>
      <c r="AC1969" s="162"/>
      <c r="AD1969" s="162"/>
      <c r="AE1969" s="162"/>
      <c r="AF1969" s="162"/>
      <c r="AG1969" s="162">
        <v>1</v>
      </c>
      <c r="AH1969" s="162"/>
      <c r="AI1969" s="162"/>
      <c r="AJ1969" s="162"/>
      <c r="AK1969" s="162"/>
      <c r="AL1969" s="162"/>
      <c r="AM1969" s="162">
        <v>1</v>
      </c>
      <c r="AN1969" s="162">
        <v>3</v>
      </c>
      <c r="AO1969" s="162">
        <v>3</v>
      </c>
      <c r="AP1969" s="162">
        <v>1</v>
      </c>
      <c r="AQ1969" s="162">
        <v>3</v>
      </c>
      <c r="AR1969" s="162">
        <v>2</v>
      </c>
      <c r="AS1969" s="162">
        <v>2</v>
      </c>
      <c r="AT1969" s="162">
        <v>2</v>
      </c>
      <c r="AU1969" s="162">
        <v>2</v>
      </c>
      <c r="AV1969" s="162"/>
      <c r="AW1969" s="162"/>
      <c r="AX1969" s="162"/>
      <c r="AY1969" s="162"/>
      <c r="AZ1969" s="162">
        <v>1</v>
      </c>
      <c r="BA1969" s="162">
        <v>1</v>
      </c>
      <c r="BB1969" s="162">
        <v>1</v>
      </c>
      <c r="BC1969" s="162">
        <v>1</v>
      </c>
      <c r="BD1969" s="162">
        <v>1</v>
      </c>
      <c r="BE1969" s="162">
        <v>2</v>
      </c>
      <c r="BF1969" s="162"/>
      <c r="BG1969" s="162"/>
      <c r="BH1969" s="162"/>
      <c r="BI1969" s="162"/>
      <c r="BJ1969" s="162">
        <v>1</v>
      </c>
      <c r="BK1969" s="162"/>
      <c r="BL1969" s="162"/>
      <c r="BM1969" s="162"/>
      <c r="BN1969" s="162"/>
      <c r="BO1969" s="162"/>
    </row>
    <row r="1970" spans="1:67" x14ac:dyDescent="0.2">
      <c r="A1970" s="57">
        <v>1221</v>
      </c>
      <c r="B1970" s="162" t="s">
        <v>3655</v>
      </c>
      <c r="C1970" s="195">
        <v>44564.35261574074</v>
      </c>
      <c r="D1970" s="55">
        <v>280</v>
      </c>
      <c r="I1970" s="46" t="s">
        <v>839</v>
      </c>
      <c r="J1970" s="162">
        <v>1</v>
      </c>
      <c r="K1970" s="162">
        <v>2</v>
      </c>
      <c r="L1970" s="162"/>
      <c r="M1970" s="162"/>
      <c r="N1970" s="162"/>
      <c r="O1970" s="162">
        <v>2</v>
      </c>
      <c r="P1970" s="162"/>
      <c r="Q1970" s="162"/>
      <c r="R1970" s="162"/>
      <c r="S1970" s="162">
        <v>1</v>
      </c>
      <c r="T1970" s="162"/>
      <c r="U1970" s="162"/>
      <c r="V1970" s="162"/>
      <c r="W1970" s="162">
        <v>2</v>
      </c>
      <c r="X1970" s="162"/>
      <c r="Y1970" s="162"/>
      <c r="Z1970" s="162"/>
      <c r="AA1970" s="162">
        <v>2</v>
      </c>
      <c r="AB1970" s="162"/>
      <c r="AC1970" s="162"/>
      <c r="AD1970" s="162"/>
      <c r="AE1970" s="162"/>
      <c r="AF1970" s="162"/>
      <c r="AG1970" s="162">
        <v>2</v>
      </c>
      <c r="AH1970" s="162"/>
      <c r="AI1970" s="162"/>
      <c r="AJ1970" s="162"/>
      <c r="AK1970" s="162"/>
      <c r="AL1970" s="162"/>
      <c r="AM1970" s="162">
        <v>1</v>
      </c>
      <c r="AN1970" s="162">
        <v>1</v>
      </c>
      <c r="AO1970" s="162">
        <v>1</v>
      </c>
      <c r="AP1970" s="162">
        <v>1</v>
      </c>
      <c r="AQ1970" s="162">
        <v>1</v>
      </c>
      <c r="AR1970" s="162">
        <v>1</v>
      </c>
      <c r="AS1970" s="162">
        <v>1</v>
      </c>
      <c r="AT1970" s="162">
        <v>1</v>
      </c>
      <c r="AU1970" s="162">
        <v>1</v>
      </c>
      <c r="AV1970" s="162"/>
      <c r="AW1970" s="162"/>
      <c r="AX1970" s="162"/>
      <c r="AY1970" s="162"/>
      <c r="AZ1970" s="162">
        <v>1</v>
      </c>
      <c r="BA1970" s="162">
        <v>1</v>
      </c>
      <c r="BB1970" s="162">
        <v>1</v>
      </c>
      <c r="BC1970" s="162">
        <v>1</v>
      </c>
      <c r="BD1970" s="162">
        <v>1</v>
      </c>
      <c r="BE1970" s="162">
        <v>1</v>
      </c>
      <c r="BF1970" s="162"/>
      <c r="BG1970" s="162"/>
      <c r="BH1970" s="162"/>
      <c r="BI1970" s="162"/>
      <c r="BJ1970" s="162">
        <v>1</v>
      </c>
      <c r="BK1970" s="162"/>
      <c r="BL1970" s="162"/>
      <c r="BM1970" s="162"/>
      <c r="BN1970" s="162"/>
      <c r="BO1970" s="162"/>
    </row>
    <row r="1971" spans="1:67" x14ac:dyDescent="0.2">
      <c r="A1971" s="57">
        <v>1121</v>
      </c>
      <c r="B1971" s="162" t="s">
        <v>3655</v>
      </c>
      <c r="C1971" s="195">
        <v>44538.945983796293</v>
      </c>
      <c r="D1971" s="55">
        <v>280</v>
      </c>
      <c r="I1971" s="46" t="s">
        <v>839</v>
      </c>
      <c r="J1971" s="162">
        <v>4</v>
      </c>
      <c r="K1971" s="162">
        <v>4</v>
      </c>
      <c r="L1971" s="162">
        <v>3</v>
      </c>
      <c r="M1971" s="162">
        <v>3</v>
      </c>
      <c r="N1971" s="162">
        <v>3</v>
      </c>
      <c r="O1971" s="162">
        <v>3</v>
      </c>
      <c r="P1971" s="162">
        <v>2</v>
      </c>
      <c r="Q1971" s="162">
        <v>2</v>
      </c>
      <c r="R1971" s="162">
        <v>2</v>
      </c>
      <c r="S1971" s="162">
        <v>3</v>
      </c>
      <c r="T1971" s="162">
        <v>2</v>
      </c>
      <c r="U1971" s="162">
        <v>3</v>
      </c>
      <c r="V1971" s="162">
        <v>3</v>
      </c>
      <c r="W1971" s="162">
        <v>3</v>
      </c>
      <c r="X1971" s="162">
        <v>2</v>
      </c>
      <c r="Y1971" s="162">
        <v>2</v>
      </c>
      <c r="Z1971" s="162">
        <v>2</v>
      </c>
      <c r="AA1971" s="162">
        <v>4</v>
      </c>
      <c r="AB1971" s="162">
        <v>2</v>
      </c>
      <c r="AC1971" s="162">
        <v>2</v>
      </c>
      <c r="AD1971" s="162">
        <v>2</v>
      </c>
      <c r="AE1971" s="162">
        <v>2</v>
      </c>
      <c r="AF1971" s="162">
        <v>2</v>
      </c>
      <c r="AG1971" s="162">
        <v>4</v>
      </c>
      <c r="AH1971" s="162">
        <v>2</v>
      </c>
      <c r="AI1971" s="162">
        <v>1</v>
      </c>
      <c r="AJ1971" s="162">
        <v>3</v>
      </c>
      <c r="AK1971" s="162">
        <v>2</v>
      </c>
      <c r="AL1971" s="162">
        <v>2</v>
      </c>
      <c r="AM1971" s="162">
        <v>4</v>
      </c>
      <c r="AN1971" s="162"/>
      <c r="AO1971" s="162"/>
      <c r="AP1971" s="162"/>
      <c r="AQ1971" s="162"/>
      <c r="AR1971" s="162"/>
      <c r="AS1971" s="162">
        <v>4</v>
      </c>
      <c r="AT1971" s="162">
        <v>4</v>
      </c>
      <c r="AU1971" s="162">
        <v>4</v>
      </c>
      <c r="AV1971" s="162">
        <v>2</v>
      </c>
      <c r="AW1971" s="162">
        <v>2</v>
      </c>
      <c r="AX1971" s="162">
        <v>2</v>
      </c>
      <c r="AY1971" s="162">
        <v>2</v>
      </c>
      <c r="AZ1971" s="162">
        <v>4</v>
      </c>
      <c r="BA1971" s="162">
        <v>1</v>
      </c>
      <c r="BB1971" s="162">
        <v>1</v>
      </c>
      <c r="BC1971" s="162">
        <v>1</v>
      </c>
      <c r="BD1971" s="162">
        <v>1</v>
      </c>
      <c r="BE1971" s="162">
        <v>4</v>
      </c>
      <c r="BF1971" s="162">
        <v>2</v>
      </c>
      <c r="BG1971" s="162">
        <v>2</v>
      </c>
      <c r="BH1971" s="162">
        <v>2</v>
      </c>
      <c r="BI1971" s="162">
        <v>3</v>
      </c>
      <c r="BJ1971" s="162">
        <v>4</v>
      </c>
      <c r="BK1971" s="162">
        <v>3</v>
      </c>
      <c r="BL1971" s="162">
        <v>2</v>
      </c>
      <c r="BM1971" s="162">
        <v>3</v>
      </c>
      <c r="BN1971" s="162">
        <v>3</v>
      </c>
      <c r="BO1971" s="162"/>
    </row>
    <row r="1972" spans="1:67" x14ac:dyDescent="0.2">
      <c r="A1972" s="57">
        <v>1121</v>
      </c>
      <c r="B1972" s="162" t="s">
        <v>3655</v>
      </c>
      <c r="C1972" s="195">
        <v>44531.705613425926</v>
      </c>
      <c r="D1972" s="55">
        <v>280</v>
      </c>
      <c r="I1972" s="46" t="s">
        <v>839</v>
      </c>
      <c r="J1972" s="162">
        <v>1</v>
      </c>
      <c r="K1972" s="162">
        <v>1</v>
      </c>
      <c r="L1972" s="162"/>
      <c r="M1972" s="162"/>
      <c r="N1972" s="162"/>
      <c r="O1972" s="162">
        <v>2</v>
      </c>
      <c r="P1972" s="162"/>
      <c r="Q1972" s="162"/>
      <c r="R1972" s="162"/>
      <c r="S1972" s="162">
        <v>1</v>
      </c>
      <c r="T1972" s="162"/>
      <c r="U1972" s="162"/>
      <c r="V1972" s="162"/>
      <c r="W1972" s="162">
        <v>1</v>
      </c>
      <c r="X1972" s="162"/>
      <c r="Y1972" s="162"/>
      <c r="Z1972" s="162"/>
      <c r="AA1972" s="162">
        <v>2</v>
      </c>
      <c r="AB1972" s="162"/>
      <c r="AC1972" s="162"/>
      <c r="AD1972" s="162"/>
      <c r="AE1972" s="162"/>
      <c r="AF1972" s="162"/>
      <c r="AG1972" s="162">
        <v>4</v>
      </c>
      <c r="AH1972" s="162">
        <v>2</v>
      </c>
      <c r="AI1972" s="162">
        <v>1</v>
      </c>
      <c r="AJ1972" s="162">
        <v>2</v>
      </c>
      <c r="AK1972" s="162">
        <v>2</v>
      </c>
      <c r="AL1972" s="162">
        <v>2</v>
      </c>
      <c r="AM1972" s="162">
        <v>3</v>
      </c>
      <c r="AN1972" s="162"/>
      <c r="AO1972" s="162"/>
      <c r="AP1972" s="162"/>
      <c r="AQ1972" s="162"/>
      <c r="AR1972" s="162"/>
      <c r="AS1972" s="162">
        <v>3</v>
      </c>
      <c r="AT1972" s="162">
        <v>2</v>
      </c>
      <c r="AU1972" s="162">
        <v>2</v>
      </c>
      <c r="AV1972" s="162"/>
      <c r="AW1972" s="162"/>
      <c r="AX1972" s="162"/>
      <c r="AY1972" s="162"/>
      <c r="AZ1972" s="162">
        <v>2</v>
      </c>
      <c r="BA1972" s="162">
        <v>1</v>
      </c>
      <c r="BB1972" s="162">
        <v>1</v>
      </c>
      <c r="BC1972" s="162">
        <v>3</v>
      </c>
      <c r="BD1972" s="162">
        <v>1</v>
      </c>
      <c r="BE1972" s="162">
        <v>3</v>
      </c>
      <c r="BF1972" s="162">
        <v>2</v>
      </c>
      <c r="BG1972" s="162">
        <v>1</v>
      </c>
      <c r="BH1972" s="162">
        <v>1</v>
      </c>
      <c r="BI1972" s="162">
        <v>3</v>
      </c>
      <c r="BJ1972" s="162">
        <v>2</v>
      </c>
      <c r="BK1972" s="162"/>
      <c r="BL1972" s="162"/>
      <c r="BM1972" s="162"/>
      <c r="BN1972" s="162"/>
      <c r="BO1972" s="162"/>
    </row>
    <row r="1973" spans="1:67" x14ac:dyDescent="0.2">
      <c r="C1973" s="195">
        <v>44652</v>
      </c>
      <c r="D1973" s="55">
        <v>260</v>
      </c>
      <c r="E1973" s="55" t="s">
        <v>3658</v>
      </c>
      <c r="F1973" s="55" t="s">
        <v>244</v>
      </c>
      <c r="G1973" s="55" t="s">
        <v>767</v>
      </c>
      <c r="H1973" s="50" t="s">
        <v>3659</v>
      </c>
    </row>
    <row r="1974" spans="1:67" x14ac:dyDescent="0.2">
      <c r="C1974" s="195">
        <v>44669</v>
      </c>
      <c r="D1974" s="55">
        <v>280</v>
      </c>
      <c r="E1974" s="55" t="s">
        <v>3660</v>
      </c>
      <c r="F1974" s="55" t="s">
        <v>291</v>
      </c>
      <c r="G1974" s="55" t="s">
        <v>480</v>
      </c>
    </row>
    <row r="1975" spans="1:67" x14ac:dyDescent="0.2">
      <c r="C1975" s="195">
        <v>44662</v>
      </c>
      <c r="D1975" s="55">
        <v>280</v>
      </c>
      <c r="E1975" s="55" t="s">
        <v>3661</v>
      </c>
      <c r="F1975" s="55" t="s">
        <v>202</v>
      </c>
      <c r="G1975" s="55" t="s">
        <v>341</v>
      </c>
      <c r="H1975" s="50" t="s">
        <v>3662</v>
      </c>
    </row>
    <row r="1976" spans="1:67" x14ac:dyDescent="0.2">
      <c r="C1976" s="195">
        <v>44676</v>
      </c>
      <c r="D1976" s="55">
        <v>260</v>
      </c>
      <c r="E1976" s="55" t="s">
        <v>3663</v>
      </c>
      <c r="F1976" s="55" t="s">
        <v>231</v>
      </c>
      <c r="G1976" s="55" t="s">
        <v>1189</v>
      </c>
      <c r="H1976" s="50" t="s">
        <v>3664</v>
      </c>
    </row>
    <row r="1977" spans="1:67" x14ac:dyDescent="0.2">
      <c r="C1977" s="195">
        <v>44663</v>
      </c>
      <c r="D1977" s="55">
        <v>280</v>
      </c>
      <c r="E1977" s="55" t="s">
        <v>3665</v>
      </c>
      <c r="F1977" s="55" t="s">
        <v>267</v>
      </c>
      <c r="G1977" s="55" t="s">
        <v>1109</v>
      </c>
      <c r="H1977" s="50" t="s">
        <v>3666</v>
      </c>
    </row>
    <row r="1978" spans="1:67" x14ac:dyDescent="0.2">
      <c r="C1978" s="195">
        <v>44662</v>
      </c>
      <c r="D1978" s="55">
        <v>260</v>
      </c>
      <c r="E1978" s="55" t="s">
        <v>3667</v>
      </c>
      <c r="F1978" s="55" t="s">
        <v>192</v>
      </c>
      <c r="G1978" s="55" t="s">
        <v>401</v>
      </c>
      <c r="H1978" s="50" t="s">
        <v>3668</v>
      </c>
    </row>
    <row r="1979" spans="1:67" x14ac:dyDescent="0.2">
      <c r="C1979" s="195">
        <v>44676</v>
      </c>
      <c r="D1979" s="55">
        <v>280</v>
      </c>
      <c r="E1979" s="55" t="s">
        <v>3669</v>
      </c>
      <c r="F1979" s="55" t="s">
        <v>202</v>
      </c>
      <c r="G1979" s="55" t="s">
        <v>321</v>
      </c>
      <c r="H1979" s="50" t="s">
        <v>3670</v>
      </c>
    </row>
    <row r="1980" spans="1:67" x14ac:dyDescent="0.2">
      <c r="C1980" s="195">
        <v>44652</v>
      </c>
      <c r="D1980" s="55">
        <v>260</v>
      </c>
      <c r="E1980" s="55" t="s">
        <v>3671</v>
      </c>
      <c r="F1980" s="55" t="s">
        <v>272</v>
      </c>
      <c r="G1980" s="55" t="s">
        <v>273</v>
      </c>
      <c r="H1980" s="50" t="s">
        <v>3672</v>
      </c>
    </row>
    <row r="1981" spans="1:67" x14ac:dyDescent="0.2">
      <c r="C1981" s="195">
        <v>44677</v>
      </c>
      <c r="D1981" s="55">
        <v>280</v>
      </c>
      <c r="E1981" s="55" t="s">
        <v>3673</v>
      </c>
      <c r="F1981" s="55" t="s">
        <v>196</v>
      </c>
      <c r="G1981" s="55" t="s">
        <v>349</v>
      </c>
      <c r="H1981" s="50" t="s">
        <v>224</v>
      </c>
    </row>
    <row r="1982" spans="1:67" x14ac:dyDescent="0.2">
      <c r="C1982" s="195">
        <v>44679</v>
      </c>
      <c r="D1982" s="55">
        <v>260</v>
      </c>
      <c r="E1982" s="55" t="s">
        <v>3674</v>
      </c>
      <c r="F1982" s="55" t="s">
        <v>231</v>
      </c>
      <c r="G1982" s="55" t="s">
        <v>421</v>
      </c>
      <c r="H1982" s="50" t="s">
        <v>3675</v>
      </c>
    </row>
    <row r="1983" spans="1:67" x14ac:dyDescent="0.2">
      <c r="C1983" s="195">
        <v>44657</v>
      </c>
      <c r="D1983" s="55">
        <v>280</v>
      </c>
      <c r="E1983" s="55" t="s">
        <v>3676</v>
      </c>
      <c r="F1983" s="55" t="s">
        <v>210</v>
      </c>
      <c r="G1983" s="55" t="s">
        <v>211</v>
      </c>
      <c r="H1983" s="50" t="s">
        <v>3677</v>
      </c>
    </row>
    <row r="1984" spans="1:67" x14ac:dyDescent="0.2">
      <c r="C1984" s="195">
        <v>44666</v>
      </c>
      <c r="D1984" s="55">
        <v>260</v>
      </c>
      <c r="E1984" s="55" t="s">
        <v>3678</v>
      </c>
      <c r="F1984" s="55" t="s">
        <v>196</v>
      </c>
      <c r="G1984" s="55" t="s">
        <v>498</v>
      </c>
      <c r="H1984" s="50" t="s">
        <v>3679</v>
      </c>
    </row>
    <row r="1985" spans="1:9" x14ac:dyDescent="0.2">
      <c r="C1985" s="195">
        <v>44680</v>
      </c>
      <c r="D1985" s="55">
        <v>260</v>
      </c>
      <c r="E1985" s="55" t="s">
        <v>3680</v>
      </c>
      <c r="F1985" s="55" t="s">
        <v>192</v>
      </c>
      <c r="G1985" s="55" t="s">
        <v>640</v>
      </c>
      <c r="H1985" s="50" t="s">
        <v>224</v>
      </c>
    </row>
    <row r="1986" spans="1:9" x14ac:dyDescent="0.2">
      <c r="C1986" s="195">
        <v>44655</v>
      </c>
      <c r="D1986" s="55">
        <v>280</v>
      </c>
      <c r="E1986" s="55" t="s">
        <v>3681</v>
      </c>
      <c r="F1986" s="55" t="s">
        <v>231</v>
      </c>
      <c r="G1986" s="55" t="s">
        <v>1241</v>
      </c>
      <c r="H1986" s="50" t="s">
        <v>3682</v>
      </c>
    </row>
    <row r="1987" spans="1:9" x14ac:dyDescent="0.2">
      <c r="C1987" s="195">
        <v>44654</v>
      </c>
      <c r="D1987" s="55">
        <v>280</v>
      </c>
      <c r="E1987" s="55" t="s">
        <v>3683</v>
      </c>
      <c r="F1987" s="55" t="s">
        <v>244</v>
      </c>
      <c r="G1987" s="55" t="s">
        <v>1468</v>
      </c>
      <c r="H1987" s="50" t="s">
        <v>3684</v>
      </c>
    </row>
    <row r="1988" spans="1:9" x14ac:dyDescent="0.2">
      <c r="C1988" s="195">
        <v>44659</v>
      </c>
      <c r="D1988" s="55">
        <v>260</v>
      </c>
      <c r="E1988" s="55" t="s">
        <v>3685</v>
      </c>
      <c r="F1988" s="55" t="s">
        <v>244</v>
      </c>
      <c r="G1988" s="55" t="s">
        <v>393</v>
      </c>
      <c r="H1988" s="50" t="s">
        <v>3686</v>
      </c>
    </row>
    <row r="1989" spans="1:9" x14ac:dyDescent="0.2">
      <c r="C1989" s="195">
        <v>44662</v>
      </c>
      <c r="D1989" s="55">
        <v>280</v>
      </c>
      <c r="E1989" s="55" t="s">
        <v>3687</v>
      </c>
      <c r="F1989" s="55" t="s">
        <v>206</v>
      </c>
      <c r="G1989" s="55" t="s">
        <v>3192</v>
      </c>
      <c r="H1989" s="50" t="s">
        <v>3688</v>
      </c>
    </row>
    <row r="1990" spans="1:9" x14ac:dyDescent="0.2">
      <c r="C1990" s="195">
        <v>44656</v>
      </c>
      <c r="D1990" s="55">
        <v>260</v>
      </c>
      <c r="E1990" s="55" t="s">
        <v>3689</v>
      </c>
      <c r="F1990" s="55" t="s">
        <v>231</v>
      </c>
      <c r="G1990" s="55" t="s">
        <v>782</v>
      </c>
      <c r="H1990" s="50" t="s">
        <v>3690</v>
      </c>
    </row>
    <row r="1991" spans="1:9" x14ac:dyDescent="0.2">
      <c r="C1991" s="195">
        <v>44678</v>
      </c>
      <c r="D1991" s="55">
        <v>280</v>
      </c>
      <c r="E1991" s="55" t="s">
        <v>3691</v>
      </c>
      <c r="F1991" s="55" t="s">
        <v>263</v>
      </c>
      <c r="G1991" s="55" t="s">
        <v>3692</v>
      </c>
      <c r="H1991" s="50" t="s">
        <v>3693</v>
      </c>
    </row>
    <row r="1992" spans="1:9" x14ac:dyDescent="0.2">
      <c r="C1992" s="195">
        <v>44676</v>
      </c>
      <c r="D1992" s="55">
        <v>260</v>
      </c>
      <c r="E1992" s="55" t="s">
        <v>3694</v>
      </c>
      <c r="F1992" s="55" t="s">
        <v>244</v>
      </c>
      <c r="G1992" s="55" t="s">
        <v>294</v>
      </c>
      <c r="H1992" s="50" t="s">
        <v>3695</v>
      </c>
    </row>
    <row r="1993" spans="1:9" x14ac:dyDescent="0.2">
      <c r="A1993" s="57">
        <v>422</v>
      </c>
      <c r="B1993" t="s">
        <v>836</v>
      </c>
      <c r="C1993" s="195">
        <v>44680</v>
      </c>
      <c r="D1993" s="55">
        <v>260</v>
      </c>
      <c r="E1993" s="55" t="s">
        <v>3696</v>
      </c>
      <c r="F1993" s="55" t="s">
        <v>192</v>
      </c>
      <c r="G1993" s="55" t="s">
        <v>640</v>
      </c>
      <c r="H1993" s="50" t="s">
        <v>224</v>
      </c>
      <c r="I1993" s="46" t="s">
        <v>837</v>
      </c>
    </row>
    <row r="1994" spans="1:9" x14ac:dyDescent="0.2">
      <c r="C1994" s="195">
        <v>44671</v>
      </c>
      <c r="D1994" s="55">
        <v>280</v>
      </c>
      <c r="E1994" s="55" t="s">
        <v>3697</v>
      </c>
      <c r="F1994" s="55" t="s">
        <v>231</v>
      </c>
      <c r="G1994" s="55" t="s">
        <v>421</v>
      </c>
      <c r="H1994" s="50" t="s">
        <v>224</v>
      </c>
    </row>
    <row r="1995" spans="1:9" x14ac:dyDescent="0.2">
      <c r="C1995" s="195">
        <v>44678</v>
      </c>
      <c r="D1995" s="55">
        <v>280</v>
      </c>
      <c r="E1995" s="55" t="s">
        <v>3698</v>
      </c>
      <c r="F1995" s="55" t="s">
        <v>231</v>
      </c>
      <c r="G1995" s="55" t="s">
        <v>3699</v>
      </c>
      <c r="H1995" s="50" t="s">
        <v>3700</v>
      </c>
    </row>
    <row r="1996" spans="1:9" x14ac:dyDescent="0.2">
      <c r="C1996" s="195">
        <v>44677</v>
      </c>
      <c r="D1996" s="55">
        <v>280</v>
      </c>
      <c r="E1996" s="55" t="s">
        <v>3701</v>
      </c>
      <c r="F1996" s="55" t="s">
        <v>196</v>
      </c>
      <c r="G1996" s="55" t="s">
        <v>349</v>
      </c>
      <c r="H1996" s="50" t="s">
        <v>3702</v>
      </c>
    </row>
    <row r="1997" spans="1:9" x14ac:dyDescent="0.2">
      <c r="C1997" s="195">
        <v>44676</v>
      </c>
      <c r="D1997" s="55">
        <v>280</v>
      </c>
      <c r="E1997" s="55" t="s">
        <v>3703</v>
      </c>
      <c r="F1997" s="55" t="s">
        <v>219</v>
      </c>
      <c r="G1997" s="55" t="s">
        <v>223</v>
      </c>
      <c r="H1997" s="50" t="s">
        <v>3704</v>
      </c>
    </row>
    <row r="1998" spans="1:9" x14ac:dyDescent="0.2">
      <c r="C1998" s="195">
        <v>44673</v>
      </c>
      <c r="D1998" s="55">
        <v>280</v>
      </c>
      <c r="E1998" s="55" t="s">
        <v>3705</v>
      </c>
      <c r="F1998" s="55" t="s">
        <v>196</v>
      </c>
      <c r="G1998" s="55" t="s">
        <v>352</v>
      </c>
      <c r="H1998" s="50" t="s">
        <v>3706</v>
      </c>
    </row>
    <row r="1999" spans="1:9" x14ac:dyDescent="0.2">
      <c r="C1999" s="195">
        <v>44662</v>
      </c>
      <c r="D1999" s="55">
        <v>260</v>
      </c>
      <c r="E1999" s="55" t="s">
        <v>3707</v>
      </c>
      <c r="F1999" s="55" t="s">
        <v>196</v>
      </c>
      <c r="G1999" s="55" t="s">
        <v>498</v>
      </c>
      <c r="H1999" s="50" t="s">
        <v>3708</v>
      </c>
    </row>
    <row r="2000" spans="1:9" x14ac:dyDescent="0.2">
      <c r="C2000" s="195">
        <v>44678</v>
      </c>
      <c r="D2000" s="55">
        <v>260</v>
      </c>
      <c r="E2000" s="55" t="s">
        <v>3709</v>
      </c>
      <c r="F2000" s="55" t="s">
        <v>219</v>
      </c>
      <c r="G2000" s="55" t="s">
        <v>3710</v>
      </c>
      <c r="H2000" s="50" t="s">
        <v>3711</v>
      </c>
    </row>
    <row r="2001" spans="1:66" x14ac:dyDescent="0.2">
      <c r="C2001" s="195">
        <v>44652</v>
      </c>
      <c r="D2001" s="55">
        <v>280</v>
      </c>
      <c r="E2001" s="55" t="s">
        <v>3712</v>
      </c>
      <c r="F2001" s="55" t="s">
        <v>231</v>
      </c>
      <c r="G2001" s="55" t="s">
        <v>232</v>
      </c>
      <c r="H2001" s="50" t="s">
        <v>224</v>
      </c>
    </row>
    <row r="2002" spans="1:66" x14ac:dyDescent="0.2">
      <c r="C2002" s="195">
        <v>44670</v>
      </c>
      <c r="D2002" s="55">
        <v>260</v>
      </c>
      <c r="E2002" s="55" t="s">
        <v>3713</v>
      </c>
      <c r="F2002" s="55" t="s">
        <v>244</v>
      </c>
      <c r="G2002" s="55" t="s">
        <v>1085</v>
      </c>
      <c r="H2002" s="50" t="s">
        <v>3714</v>
      </c>
    </row>
    <row r="2003" spans="1:66" x14ac:dyDescent="0.2">
      <c r="C2003" s="195">
        <v>44666</v>
      </c>
      <c r="D2003" s="55">
        <v>280</v>
      </c>
      <c r="E2003" s="55" t="s">
        <v>3715</v>
      </c>
      <c r="F2003" s="55" t="s">
        <v>202</v>
      </c>
      <c r="G2003" s="55" t="s">
        <v>2106</v>
      </c>
      <c r="H2003" s="50" t="s">
        <v>3716</v>
      </c>
    </row>
    <row r="2004" spans="1:66" x14ac:dyDescent="0.2">
      <c r="C2004" s="195">
        <v>44655</v>
      </c>
      <c r="D2004" s="55">
        <v>260</v>
      </c>
      <c r="E2004" s="55" t="s">
        <v>3717</v>
      </c>
      <c r="F2004" s="55" t="s">
        <v>202</v>
      </c>
      <c r="G2004" s="55" t="s">
        <v>203</v>
      </c>
      <c r="H2004" s="50" t="s">
        <v>3718</v>
      </c>
    </row>
    <row r="2005" spans="1:66" x14ac:dyDescent="0.2">
      <c r="C2005" s="195">
        <v>44658</v>
      </c>
      <c r="D2005" s="55">
        <v>260</v>
      </c>
      <c r="E2005" s="55" t="s">
        <v>3719</v>
      </c>
      <c r="F2005" s="55" t="s">
        <v>390</v>
      </c>
      <c r="G2005" s="55" t="s">
        <v>922</v>
      </c>
      <c r="H2005" s="50" t="s">
        <v>3720</v>
      </c>
    </row>
    <row r="2006" spans="1:66" x14ac:dyDescent="0.2">
      <c r="C2006" s="195">
        <v>44656</v>
      </c>
      <c r="D2006" s="55">
        <v>280</v>
      </c>
      <c r="E2006" s="55" t="s">
        <v>3721</v>
      </c>
      <c r="F2006" s="55" t="s">
        <v>210</v>
      </c>
      <c r="G2006" s="55" t="s">
        <v>883</v>
      </c>
      <c r="H2006" s="50" t="s">
        <v>3722</v>
      </c>
    </row>
    <row r="2007" spans="1:66" x14ac:dyDescent="0.2">
      <c r="A2007" s="57">
        <v>422</v>
      </c>
      <c r="B2007" t="s">
        <v>836</v>
      </c>
      <c r="C2007" s="195">
        <v>44669</v>
      </c>
      <c r="D2007" s="55">
        <v>280</v>
      </c>
      <c r="E2007" s="55" t="s">
        <v>3723</v>
      </c>
      <c r="F2007" s="55" t="s">
        <v>219</v>
      </c>
      <c r="G2007" s="55" t="s">
        <v>223</v>
      </c>
      <c r="H2007" s="50" t="s">
        <v>224</v>
      </c>
      <c r="I2007" s="46" t="s">
        <v>839</v>
      </c>
      <c r="J2007" s="52">
        <v>2</v>
      </c>
      <c r="K2007" s="52">
        <v>2</v>
      </c>
      <c r="O2007" s="1">
        <v>1</v>
      </c>
      <c r="S2007" s="1">
        <v>1</v>
      </c>
      <c r="W2007" s="1">
        <v>2</v>
      </c>
      <c r="AA2007" s="1">
        <v>4</v>
      </c>
      <c r="AB2007" s="1">
        <v>1</v>
      </c>
      <c r="AC2007" s="59">
        <v>1</v>
      </c>
      <c r="AD2007" s="1">
        <v>1</v>
      </c>
      <c r="AE2007" s="1">
        <v>2</v>
      </c>
      <c r="AF2007" s="1">
        <v>2</v>
      </c>
      <c r="AG2007">
        <v>3</v>
      </c>
      <c r="AH2007">
        <v>2</v>
      </c>
      <c r="AI2007">
        <v>3</v>
      </c>
      <c r="AJ2007">
        <v>3</v>
      </c>
      <c r="AK2007">
        <v>3</v>
      </c>
      <c r="AL2007">
        <v>3</v>
      </c>
      <c r="AM2007">
        <v>4</v>
      </c>
      <c r="AS2007">
        <v>4</v>
      </c>
      <c r="AT2007">
        <v>2</v>
      </c>
      <c r="AU2007">
        <v>2</v>
      </c>
      <c r="AZ2007">
        <v>4</v>
      </c>
      <c r="BA2007">
        <v>4</v>
      </c>
      <c r="BB2007">
        <v>3</v>
      </c>
      <c r="BC2007">
        <v>3</v>
      </c>
      <c r="BD2007">
        <v>3</v>
      </c>
      <c r="BE2007">
        <v>3</v>
      </c>
      <c r="BF2007">
        <v>2</v>
      </c>
      <c r="BG2007">
        <v>2</v>
      </c>
      <c r="BH2007">
        <v>1</v>
      </c>
      <c r="BI2007">
        <v>2</v>
      </c>
      <c r="BJ2007">
        <v>3</v>
      </c>
      <c r="BK2007">
        <v>3</v>
      </c>
      <c r="BL2007">
        <v>3</v>
      </c>
      <c r="BM2007">
        <v>3</v>
      </c>
      <c r="BN2007">
        <v>3</v>
      </c>
    </row>
    <row r="2008" spans="1:66" x14ac:dyDescent="0.2">
      <c r="C2008" s="195">
        <v>44657</v>
      </c>
      <c r="D2008" s="55">
        <v>260</v>
      </c>
      <c r="E2008" s="55" t="s">
        <v>3724</v>
      </c>
      <c r="F2008" s="55" t="s">
        <v>210</v>
      </c>
      <c r="G2008" s="55" t="s">
        <v>2684</v>
      </c>
      <c r="H2008" s="50" t="s">
        <v>3725</v>
      </c>
    </row>
    <row r="2009" spans="1:66" x14ac:dyDescent="0.2">
      <c r="C2009" s="195">
        <v>44658</v>
      </c>
      <c r="D2009" s="55">
        <v>280</v>
      </c>
      <c r="E2009" s="55" t="s">
        <v>3726</v>
      </c>
      <c r="F2009" s="55" t="s">
        <v>263</v>
      </c>
      <c r="G2009" s="55" t="s">
        <v>579</v>
      </c>
      <c r="H2009" s="50" t="s">
        <v>3727</v>
      </c>
    </row>
    <row r="2010" spans="1:66" x14ac:dyDescent="0.2">
      <c r="C2010" s="195">
        <v>44680</v>
      </c>
      <c r="D2010" s="55">
        <v>260</v>
      </c>
      <c r="E2010" s="55" t="s">
        <v>3728</v>
      </c>
      <c r="F2010" s="55" t="s">
        <v>196</v>
      </c>
      <c r="G2010" s="55" t="s">
        <v>352</v>
      </c>
      <c r="H2010" s="50" t="s">
        <v>3729</v>
      </c>
    </row>
    <row r="2011" spans="1:66" x14ac:dyDescent="0.2">
      <c r="A2011" s="57">
        <v>422</v>
      </c>
      <c r="B2011" s="162" t="s">
        <v>836</v>
      </c>
      <c r="C2011" s="195">
        <v>44676</v>
      </c>
      <c r="D2011" s="55">
        <v>260</v>
      </c>
      <c r="E2011" s="55" t="s">
        <v>3730</v>
      </c>
      <c r="F2011" s="55" t="s">
        <v>196</v>
      </c>
      <c r="G2011" s="55" t="s">
        <v>645</v>
      </c>
      <c r="H2011" s="50" t="s">
        <v>224</v>
      </c>
      <c r="I2011" s="46" t="s">
        <v>839</v>
      </c>
      <c r="J2011" s="52">
        <v>2</v>
      </c>
      <c r="K2011" s="52">
        <v>3</v>
      </c>
      <c r="L2011" s="52">
        <v>1</v>
      </c>
      <c r="M2011" s="52">
        <v>3</v>
      </c>
      <c r="N2011" s="52">
        <v>1</v>
      </c>
      <c r="O2011" s="52">
        <v>2</v>
      </c>
      <c r="S2011" s="1">
        <v>1</v>
      </c>
      <c r="W2011" s="1">
        <v>1</v>
      </c>
      <c r="AA2011" s="1">
        <v>1</v>
      </c>
      <c r="AG2011">
        <v>1</v>
      </c>
      <c r="AM2011">
        <v>1</v>
      </c>
      <c r="AN2011">
        <v>1</v>
      </c>
      <c r="AO2011">
        <v>1</v>
      </c>
      <c r="AP2011">
        <v>1</v>
      </c>
      <c r="AQ2011">
        <v>1</v>
      </c>
      <c r="AR2011">
        <v>1</v>
      </c>
      <c r="AS2011">
        <v>1</v>
      </c>
      <c r="AT2011">
        <v>1</v>
      </c>
      <c r="AU2011">
        <v>1</v>
      </c>
      <c r="AZ2011">
        <v>1</v>
      </c>
      <c r="BA2011">
        <v>1</v>
      </c>
      <c r="BB2011">
        <v>1</v>
      </c>
      <c r="BC2011">
        <v>1</v>
      </c>
      <c r="BD2011">
        <v>1</v>
      </c>
      <c r="BE2011">
        <v>1</v>
      </c>
      <c r="BJ2011">
        <v>1</v>
      </c>
    </row>
    <row r="2012" spans="1:66" x14ac:dyDescent="0.2">
      <c r="C2012" s="195">
        <v>44680</v>
      </c>
      <c r="D2012" s="55">
        <v>260</v>
      </c>
      <c r="E2012" s="55" t="s">
        <v>3731</v>
      </c>
      <c r="F2012" s="55" t="s">
        <v>231</v>
      </c>
      <c r="G2012" s="55" t="s">
        <v>421</v>
      </c>
      <c r="H2012" s="50" t="s">
        <v>3732</v>
      </c>
    </row>
    <row r="2013" spans="1:66" x14ac:dyDescent="0.2">
      <c r="C2013" s="195">
        <v>44678</v>
      </c>
      <c r="D2013" s="55">
        <v>260</v>
      </c>
      <c r="E2013" s="55" t="s">
        <v>3733</v>
      </c>
      <c r="F2013" s="55" t="s">
        <v>244</v>
      </c>
      <c r="G2013" s="55" t="s">
        <v>1085</v>
      </c>
      <c r="H2013" s="50" t="s">
        <v>3734</v>
      </c>
    </row>
    <row r="2014" spans="1:66" x14ac:dyDescent="0.2">
      <c r="A2014" s="57">
        <v>422</v>
      </c>
      <c r="B2014" t="s">
        <v>836</v>
      </c>
      <c r="C2014" s="195">
        <v>44652</v>
      </c>
      <c r="D2014" s="55">
        <v>280</v>
      </c>
      <c r="E2014" s="55" t="s">
        <v>3735</v>
      </c>
      <c r="F2014" s="55" t="s">
        <v>267</v>
      </c>
      <c r="G2014" s="55" t="s">
        <v>442</v>
      </c>
      <c r="H2014" s="50" t="s">
        <v>224</v>
      </c>
      <c r="I2014" s="46" t="s">
        <v>839</v>
      </c>
      <c r="J2014" s="52">
        <v>1</v>
      </c>
      <c r="K2014" s="52">
        <v>1</v>
      </c>
      <c r="O2014" s="1">
        <v>2</v>
      </c>
      <c r="S2014" s="1">
        <v>1</v>
      </c>
      <c r="W2014" s="1">
        <v>1</v>
      </c>
      <c r="AA2014" s="1">
        <v>2</v>
      </c>
      <c r="AG2014">
        <v>1</v>
      </c>
      <c r="AM2014">
        <v>4</v>
      </c>
      <c r="AS2014">
        <v>4</v>
      </c>
      <c r="AT2014">
        <v>1</v>
      </c>
      <c r="AU2014">
        <v>1</v>
      </c>
      <c r="AZ2014">
        <v>1</v>
      </c>
      <c r="BA2014">
        <v>1</v>
      </c>
      <c r="BB2014">
        <v>1</v>
      </c>
      <c r="BC2014">
        <v>1</v>
      </c>
      <c r="BD2014">
        <v>1</v>
      </c>
      <c r="BE2014">
        <v>1</v>
      </c>
      <c r="BJ2014">
        <v>1</v>
      </c>
    </row>
    <row r="2015" spans="1:66" x14ac:dyDescent="0.2">
      <c r="C2015" s="195">
        <v>44665</v>
      </c>
      <c r="D2015" s="55">
        <v>280</v>
      </c>
      <c r="E2015" s="55" t="s">
        <v>3736</v>
      </c>
      <c r="F2015" s="55" t="s">
        <v>244</v>
      </c>
      <c r="G2015" s="55" t="s">
        <v>767</v>
      </c>
      <c r="H2015" s="50" t="s">
        <v>3737</v>
      </c>
    </row>
    <row r="2016" spans="1:66" x14ac:dyDescent="0.2">
      <c r="C2016" s="195">
        <v>44665</v>
      </c>
      <c r="D2016" s="55">
        <v>260</v>
      </c>
      <c r="E2016" s="55" t="s">
        <v>3738</v>
      </c>
      <c r="F2016" s="55" t="s">
        <v>202</v>
      </c>
      <c r="G2016" s="55" t="s">
        <v>341</v>
      </c>
      <c r="H2016" s="50" t="s">
        <v>3739</v>
      </c>
    </row>
    <row r="2017" spans="3:8" x14ac:dyDescent="0.2">
      <c r="C2017" s="195">
        <v>44664</v>
      </c>
      <c r="D2017" s="55">
        <v>260</v>
      </c>
      <c r="E2017" s="55" t="s">
        <v>3740</v>
      </c>
      <c r="F2017" s="55" t="s">
        <v>267</v>
      </c>
      <c r="G2017" s="55" t="s">
        <v>442</v>
      </c>
      <c r="H2017" s="50" t="s">
        <v>3741</v>
      </c>
    </row>
    <row r="2018" spans="3:8" x14ac:dyDescent="0.2">
      <c r="C2018" s="195">
        <v>44655</v>
      </c>
      <c r="D2018" s="55">
        <v>260</v>
      </c>
      <c r="E2018" s="55" t="s">
        <v>3742</v>
      </c>
      <c r="F2018" s="55" t="s">
        <v>202</v>
      </c>
      <c r="G2018" s="55" t="s">
        <v>341</v>
      </c>
      <c r="H2018" s="50" t="s">
        <v>3743</v>
      </c>
    </row>
    <row r="2019" spans="3:8" x14ac:dyDescent="0.2">
      <c r="C2019" s="195">
        <v>44669</v>
      </c>
      <c r="D2019" s="55">
        <v>280</v>
      </c>
      <c r="E2019" s="55" t="s">
        <v>3744</v>
      </c>
      <c r="F2019" s="55" t="s">
        <v>263</v>
      </c>
      <c r="G2019" s="55" t="s">
        <v>264</v>
      </c>
      <c r="H2019" s="50" t="s">
        <v>3745</v>
      </c>
    </row>
    <row r="2020" spans="3:8" x14ac:dyDescent="0.2">
      <c r="C2020" s="195">
        <v>44672</v>
      </c>
      <c r="D2020" s="55">
        <v>280</v>
      </c>
      <c r="E2020" s="55" t="s">
        <v>3746</v>
      </c>
      <c r="F2020" s="55" t="s">
        <v>263</v>
      </c>
      <c r="G2020" s="55" t="s">
        <v>3747</v>
      </c>
      <c r="H2020" s="50" t="s">
        <v>224</v>
      </c>
    </row>
    <row r="2021" spans="3:8" x14ac:dyDescent="0.2">
      <c r="C2021" s="195">
        <v>44657</v>
      </c>
      <c r="D2021" s="55">
        <v>280</v>
      </c>
      <c r="E2021" s="55" t="s">
        <v>3748</v>
      </c>
      <c r="F2021" s="55" t="s">
        <v>202</v>
      </c>
      <c r="G2021" s="55" t="s">
        <v>302</v>
      </c>
      <c r="H2021" s="50" t="s">
        <v>224</v>
      </c>
    </row>
    <row r="2022" spans="3:8" x14ac:dyDescent="0.2">
      <c r="C2022" s="195">
        <v>44670</v>
      </c>
      <c r="D2022" s="55">
        <v>260</v>
      </c>
      <c r="E2022" s="55" t="s">
        <v>3749</v>
      </c>
      <c r="F2022" s="55" t="s">
        <v>244</v>
      </c>
      <c r="G2022" s="55" t="s">
        <v>696</v>
      </c>
      <c r="H2022" s="50" t="s">
        <v>3750</v>
      </c>
    </row>
    <row r="2023" spans="3:8" x14ac:dyDescent="0.2">
      <c r="C2023" s="195">
        <v>44676</v>
      </c>
      <c r="D2023" s="55">
        <v>280</v>
      </c>
      <c r="E2023" s="55" t="s">
        <v>3751</v>
      </c>
      <c r="F2023" s="55" t="s">
        <v>263</v>
      </c>
      <c r="G2023" s="55" t="s">
        <v>693</v>
      </c>
      <c r="H2023" s="50" t="s">
        <v>3752</v>
      </c>
    </row>
    <row r="2024" spans="3:8" x14ac:dyDescent="0.2">
      <c r="C2024" s="195">
        <v>44658</v>
      </c>
      <c r="D2024" s="55">
        <v>260</v>
      </c>
      <c r="E2024" s="55" t="s">
        <v>3753</v>
      </c>
      <c r="F2024" s="55" t="s">
        <v>192</v>
      </c>
      <c r="G2024" s="55" t="s">
        <v>401</v>
      </c>
      <c r="H2024" s="50" t="s">
        <v>3754</v>
      </c>
    </row>
    <row r="2025" spans="3:8" x14ac:dyDescent="0.2">
      <c r="C2025" s="195">
        <v>44677</v>
      </c>
      <c r="D2025" s="55">
        <v>260</v>
      </c>
      <c r="E2025" s="55" t="s">
        <v>3755</v>
      </c>
      <c r="F2025" s="55" t="s">
        <v>196</v>
      </c>
      <c r="G2025" s="55" t="s">
        <v>349</v>
      </c>
      <c r="H2025" s="50" t="s">
        <v>3756</v>
      </c>
    </row>
    <row r="2026" spans="3:8" x14ac:dyDescent="0.2">
      <c r="C2026" s="195">
        <v>44678</v>
      </c>
      <c r="D2026" s="55">
        <v>260</v>
      </c>
      <c r="E2026" s="55" t="s">
        <v>3757</v>
      </c>
      <c r="F2026" s="55" t="s">
        <v>244</v>
      </c>
      <c r="G2026" s="55" t="s">
        <v>378</v>
      </c>
      <c r="H2026" s="50" t="s">
        <v>3758</v>
      </c>
    </row>
    <row r="2027" spans="3:8" x14ac:dyDescent="0.2">
      <c r="C2027" s="195">
        <v>44671</v>
      </c>
      <c r="D2027" s="55">
        <v>260</v>
      </c>
      <c r="E2027" s="55" t="s">
        <v>3759</v>
      </c>
      <c r="F2027" s="55" t="s">
        <v>196</v>
      </c>
      <c r="G2027" s="55" t="s">
        <v>352</v>
      </c>
      <c r="H2027" s="50" t="s">
        <v>3760</v>
      </c>
    </row>
    <row r="2028" spans="3:8" x14ac:dyDescent="0.2">
      <c r="C2028" s="195">
        <v>44669</v>
      </c>
      <c r="D2028" s="55">
        <v>280</v>
      </c>
      <c r="E2028" s="55" t="s">
        <v>3761</v>
      </c>
      <c r="F2028" s="55" t="s">
        <v>263</v>
      </c>
      <c r="G2028" s="55" t="s">
        <v>264</v>
      </c>
      <c r="H2028" s="50" t="s">
        <v>3762</v>
      </c>
    </row>
    <row r="2029" spans="3:8" x14ac:dyDescent="0.2">
      <c r="C2029" s="195">
        <v>44677</v>
      </c>
      <c r="D2029" s="55">
        <v>280</v>
      </c>
      <c r="E2029" s="55" t="s">
        <v>3763</v>
      </c>
      <c r="F2029" s="55" t="s">
        <v>267</v>
      </c>
      <c r="G2029" s="55" t="s">
        <v>331</v>
      </c>
      <c r="H2029" s="50" t="s">
        <v>3764</v>
      </c>
    </row>
    <row r="2030" spans="3:8" x14ac:dyDescent="0.2">
      <c r="C2030" s="195">
        <v>44655</v>
      </c>
      <c r="D2030" s="55">
        <v>280</v>
      </c>
      <c r="E2030" s="55" t="s">
        <v>3765</v>
      </c>
      <c r="F2030" s="55" t="s">
        <v>267</v>
      </c>
      <c r="G2030" s="55" t="s">
        <v>331</v>
      </c>
      <c r="H2030" s="50" t="s">
        <v>224</v>
      </c>
    </row>
    <row r="2031" spans="3:8" x14ac:dyDescent="0.2">
      <c r="C2031" s="195">
        <v>44678</v>
      </c>
      <c r="D2031" s="55">
        <v>260</v>
      </c>
      <c r="E2031" s="55" t="s">
        <v>3766</v>
      </c>
      <c r="F2031" s="55" t="s">
        <v>219</v>
      </c>
      <c r="G2031" s="55" t="s">
        <v>3710</v>
      </c>
      <c r="H2031" s="50" t="s">
        <v>3767</v>
      </c>
    </row>
    <row r="2032" spans="3:8" x14ac:dyDescent="0.2">
      <c r="C2032" s="195">
        <v>44666</v>
      </c>
      <c r="D2032" s="55">
        <v>280</v>
      </c>
      <c r="E2032" s="55" t="s">
        <v>3768</v>
      </c>
      <c r="F2032" s="55" t="s">
        <v>196</v>
      </c>
      <c r="G2032" s="55" t="s">
        <v>352</v>
      </c>
      <c r="H2032" s="50" t="s">
        <v>3769</v>
      </c>
    </row>
    <row r="2033" spans="1:9" x14ac:dyDescent="0.2">
      <c r="C2033" s="195">
        <v>44669</v>
      </c>
      <c r="D2033" s="55">
        <v>280</v>
      </c>
      <c r="E2033" s="55" t="s">
        <v>3770</v>
      </c>
      <c r="F2033" s="55" t="s">
        <v>263</v>
      </c>
      <c r="G2033" s="55" t="s">
        <v>3747</v>
      </c>
      <c r="H2033" s="50" t="s">
        <v>3771</v>
      </c>
    </row>
    <row r="2034" spans="1:9" x14ac:dyDescent="0.2">
      <c r="C2034" s="195">
        <v>44662</v>
      </c>
      <c r="D2034" s="55">
        <v>260</v>
      </c>
      <c r="E2034" s="55" t="s">
        <v>3772</v>
      </c>
      <c r="F2034" s="55" t="s">
        <v>192</v>
      </c>
      <c r="G2034" s="55" t="s">
        <v>401</v>
      </c>
      <c r="H2034" s="50" t="s">
        <v>3773</v>
      </c>
    </row>
    <row r="2035" spans="1:9" x14ac:dyDescent="0.2">
      <c r="C2035" s="195">
        <v>44680</v>
      </c>
      <c r="D2035" s="55">
        <v>260</v>
      </c>
      <c r="E2035" s="55" t="s">
        <v>3774</v>
      </c>
      <c r="F2035" s="55" t="s">
        <v>219</v>
      </c>
      <c r="G2035" s="55" t="s">
        <v>540</v>
      </c>
      <c r="H2035" s="50" t="s">
        <v>3775</v>
      </c>
    </row>
    <row r="2036" spans="1:9" x14ac:dyDescent="0.2">
      <c r="C2036" s="195">
        <v>44658</v>
      </c>
      <c r="D2036" s="55">
        <v>260</v>
      </c>
      <c r="E2036" s="55" t="s">
        <v>3776</v>
      </c>
      <c r="F2036" s="55" t="s">
        <v>210</v>
      </c>
      <c r="G2036" s="55" t="s">
        <v>508</v>
      </c>
      <c r="H2036" s="50" t="s">
        <v>3777</v>
      </c>
    </row>
    <row r="2037" spans="1:9" x14ac:dyDescent="0.2">
      <c r="A2037" s="57">
        <v>422</v>
      </c>
      <c r="B2037" t="s">
        <v>836</v>
      </c>
      <c r="C2037" s="195">
        <v>44670</v>
      </c>
      <c r="D2037" s="55">
        <v>280</v>
      </c>
      <c r="E2037" s="55" t="s">
        <v>3778</v>
      </c>
      <c r="F2037" s="55" t="s">
        <v>263</v>
      </c>
      <c r="G2037" s="55" t="s">
        <v>3747</v>
      </c>
      <c r="H2037" s="50" t="s">
        <v>224</v>
      </c>
      <c r="I2037" s="46" t="s">
        <v>837</v>
      </c>
    </row>
    <row r="2038" spans="1:9" x14ac:dyDescent="0.2">
      <c r="C2038" s="195">
        <v>44666</v>
      </c>
      <c r="D2038" s="55">
        <v>260</v>
      </c>
      <c r="E2038" s="55" t="s">
        <v>3779</v>
      </c>
      <c r="F2038" s="55" t="s">
        <v>196</v>
      </c>
      <c r="G2038" s="55" t="s">
        <v>352</v>
      </c>
      <c r="H2038" s="50" t="s">
        <v>3780</v>
      </c>
    </row>
    <row r="2039" spans="1:9" x14ac:dyDescent="0.2">
      <c r="C2039" s="195">
        <v>44665</v>
      </c>
      <c r="D2039" s="55">
        <v>260</v>
      </c>
      <c r="E2039" s="55" t="s">
        <v>3781</v>
      </c>
      <c r="F2039" s="55" t="s">
        <v>210</v>
      </c>
      <c r="G2039" s="55" t="s">
        <v>383</v>
      </c>
      <c r="H2039" s="50" t="s">
        <v>224</v>
      </c>
    </row>
    <row r="2040" spans="1:9" x14ac:dyDescent="0.2">
      <c r="C2040" s="195">
        <v>44657</v>
      </c>
      <c r="D2040" s="55">
        <v>260</v>
      </c>
      <c r="E2040" s="55" t="s">
        <v>3782</v>
      </c>
      <c r="F2040" s="55" t="s">
        <v>192</v>
      </c>
      <c r="G2040" s="55" t="s">
        <v>324</v>
      </c>
      <c r="H2040" s="50" t="s">
        <v>224</v>
      </c>
    </row>
    <row r="2041" spans="1:9" x14ac:dyDescent="0.2">
      <c r="C2041" s="195">
        <v>44666</v>
      </c>
      <c r="D2041" s="55">
        <v>280</v>
      </c>
      <c r="E2041" s="55" t="s">
        <v>3783</v>
      </c>
      <c r="F2041" s="55" t="s">
        <v>210</v>
      </c>
      <c r="G2041" s="55" t="s">
        <v>235</v>
      </c>
      <c r="H2041" s="50" t="s">
        <v>3784</v>
      </c>
    </row>
    <row r="2042" spans="1:9" x14ac:dyDescent="0.2">
      <c r="C2042" s="195">
        <v>44656</v>
      </c>
      <c r="D2042" s="55">
        <v>280</v>
      </c>
      <c r="E2042" s="55" t="s">
        <v>3785</v>
      </c>
      <c r="F2042" s="55" t="s">
        <v>219</v>
      </c>
      <c r="G2042" s="55" t="s">
        <v>220</v>
      </c>
      <c r="H2042" s="50" t="s">
        <v>3786</v>
      </c>
    </row>
    <row r="2043" spans="1:9" x14ac:dyDescent="0.2">
      <c r="C2043" s="195">
        <v>44672</v>
      </c>
      <c r="D2043" s="55">
        <v>280</v>
      </c>
      <c r="E2043" s="55" t="s">
        <v>3787</v>
      </c>
      <c r="F2043" s="55" t="s">
        <v>272</v>
      </c>
      <c r="G2043" s="55" t="s">
        <v>683</v>
      </c>
      <c r="H2043" s="50" t="s">
        <v>224</v>
      </c>
    </row>
    <row r="2044" spans="1:9" x14ac:dyDescent="0.2">
      <c r="C2044" s="195">
        <v>44672</v>
      </c>
      <c r="D2044" s="55">
        <v>280</v>
      </c>
      <c r="E2044" s="55" t="s">
        <v>3788</v>
      </c>
      <c r="F2044" s="55" t="s">
        <v>210</v>
      </c>
      <c r="G2044" s="55" t="s">
        <v>306</v>
      </c>
      <c r="H2044" s="50" t="s">
        <v>3789</v>
      </c>
    </row>
    <row r="2045" spans="1:9" x14ac:dyDescent="0.2">
      <c r="C2045" s="195">
        <v>44659</v>
      </c>
      <c r="D2045" s="55">
        <v>280</v>
      </c>
      <c r="E2045" s="55" t="s">
        <v>3790</v>
      </c>
      <c r="F2045" s="55" t="s">
        <v>231</v>
      </c>
      <c r="G2045" s="55" t="s">
        <v>782</v>
      </c>
      <c r="H2045" s="50" t="s">
        <v>3791</v>
      </c>
    </row>
    <row r="2046" spans="1:9" x14ac:dyDescent="0.2">
      <c r="C2046" s="195">
        <v>44670</v>
      </c>
      <c r="D2046" s="55">
        <v>280</v>
      </c>
      <c r="E2046" s="55" t="s">
        <v>3792</v>
      </c>
      <c r="F2046" s="55" t="s">
        <v>206</v>
      </c>
      <c r="G2046" s="55" t="s">
        <v>676</v>
      </c>
      <c r="H2046" s="50" t="s">
        <v>3793</v>
      </c>
    </row>
    <row r="2047" spans="1:9" x14ac:dyDescent="0.2">
      <c r="C2047" s="195">
        <v>44669</v>
      </c>
      <c r="D2047" s="55">
        <v>280</v>
      </c>
      <c r="E2047" s="55" t="s">
        <v>3794</v>
      </c>
      <c r="F2047" s="55" t="s">
        <v>272</v>
      </c>
      <c r="G2047" s="55" t="s">
        <v>1040</v>
      </c>
      <c r="H2047" s="50" t="s">
        <v>224</v>
      </c>
    </row>
    <row r="2048" spans="1:9" x14ac:dyDescent="0.2">
      <c r="C2048" s="195">
        <v>44673</v>
      </c>
      <c r="D2048" s="55">
        <v>280</v>
      </c>
      <c r="E2048" s="55" t="s">
        <v>3795</v>
      </c>
      <c r="F2048" s="55" t="s">
        <v>390</v>
      </c>
      <c r="G2048" s="55" t="s">
        <v>408</v>
      </c>
    </row>
    <row r="2049" spans="1:62" x14ac:dyDescent="0.2">
      <c r="C2049" s="195">
        <v>44672</v>
      </c>
      <c r="D2049" s="55">
        <v>280</v>
      </c>
      <c r="E2049" s="55" t="s">
        <v>3796</v>
      </c>
      <c r="F2049" s="55" t="s">
        <v>206</v>
      </c>
      <c r="G2049" s="55" t="s">
        <v>568</v>
      </c>
      <c r="H2049" s="50" t="s">
        <v>3797</v>
      </c>
    </row>
    <row r="2050" spans="1:62" x14ac:dyDescent="0.2">
      <c r="A2050" s="57">
        <v>422</v>
      </c>
      <c r="B2050" t="s">
        <v>836</v>
      </c>
      <c r="C2050" s="195">
        <v>44662</v>
      </c>
      <c r="D2050" s="55">
        <v>280</v>
      </c>
      <c r="E2050" s="55" t="s">
        <v>3798</v>
      </c>
      <c r="F2050" s="55" t="s">
        <v>267</v>
      </c>
      <c r="G2050" s="55" t="s">
        <v>442</v>
      </c>
      <c r="H2050" s="50" t="s">
        <v>3799</v>
      </c>
      <c r="I2050" s="46" t="s">
        <v>839</v>
      </c>
      <c r="J2050" s="52">
        <v>1</v>
      </c>
      <c r="K2050" s="52">
        <v>1</v>
      </c>
      <c r="O2050" s="1">
        <v>1</v>
      </c>
      <c r="S2050" s="1">
        <v>1</v>
      </c>
      <c r="W2050" s="1">
        <v>1</v>
      </c>
      <c r="AA2050" s="1">
        <v>1</v>
      </c>
      <c r="AG2050">
        <v>1</v>
      </c>
      <c r="AM2050">
        <v>4</v>
      </c>
      <c r="AS2050">
        <v>1</v>
      </c>
      <c r="AT2050">
        <v>1</v>
      </c>
      <c r="AU2050">
        <v>1</v>
      </c>
      <c r="AZ2050">
        <v>1</v>
      </c>
      <c r="BA2050">
        <v>1</v>
      </c>
      <c r="BB2050">
        <v>1</v>
      </c>
      <c r="BC2050">
        <v>1</v>
      </c>
      <c r="BD2050">
        <v>1</v>
      </c>
      <c r="BE2050">
        <v>5</v>
      </c>
      <c r="BJ2050">
        <v>1</v>
      </c>
    </row>
    <row r="2051" spans="1:62" x14ac:dyDescent="0.2">
      <c r="C2051" s="195">
        <v>44670</v>
      </c>
      <c r="D2051" s="55">
        <v>280</v>
      </c>
      <c r="E2051" s="55" t="s">
        <v>3800</v>
      </c>
      <c r="F2051" s="55" t="s">
        <v>192</v>
      </c>
      <c r="G2051" s="55" t="s">
        <v>324</v>
      </c>
      <c r="H2051" s="50" t="s">
        <v>224</v>
      </c>
    </row>
    <row r="2052" spans="1:62" x14ac:dyDescent="0.2">
      <c r="A2052" s="57">
        <v>422</v>
      </c>
      <c r="B2052" t="s">
        <v>836</v>
      </c>
      <c r="C2052" s="195">
        <v>44656</v>
      </c>
      <c r="D2052" s="55">
        <v>280</v>
      </c>
      <c r="E2052" s="55" t="s">
        <v>3801</v>
      </c>
      <c r="F2052" s="55" t="s">
        <v>219</v>
      </c>
      <c r="G2052" s="55" t="s">
        <v>561</v>
      </c>
      <c r="H2052" s="50" t="s">
        <v>224</v>
      </c>
      <c r="I2052" s="46" t="s">
        <v>837</v>
      </c>
    </row>
    <row r="2053" spans="1:62" x14ac:dyDescent="0.2">
      <c r="A2053" s="57">
        <v>422</v>
      </c>
      <c r="B2053" t="s">
        <v>836</v>
      </c>
      <c r="C2053" s="195">
        <v>44670</v>
      </c>
      <c r="D2053" s="55">
        <v>280</v>
      </c>
      <c r="E2053" s="55" t="s">
        <v>3802</v>
      </c>
      <c r="F2053" s="55" t="s">
        <v>196</v>
      </c>
      <c r="G2053" s="55" t="s">
        <v>352</v>
      </c>
      <c r="H2053" s="50" t="s">
        <v>3803</v>
      </c>
      <c r="I2053" s="46" t="s">
        <v>837</v>
      </c>
    </row>
    <row r="2054" spans="1:62" x14ac:dyDescent="0.2">
      <c r="C2054" s="195">
        <v>44666</v>
      </c>
      <c r="D2054" s="55">
        <v>280</v>
      </c>
      <c r="E2054" s="55" t="s">
        <v>3804</v>
      </c>
      <c r="F2054" s="55" t="s">
        <v>196</v>
      </c>
      <c r="G2054" s="55" t="s">
        <v>498</v>
      </c>
      <c r="H2054" s="50" t="s">
        <v>3805</v>
      </c>
    </row>
    <row r="2055" spans="1:62" x14ac:dyDescent="0.2">
      <c r="C2055" s="195">
        <v>44666</v>
      </c>
      <c r="D2055" s="55">
        <v>280</v>
      </c>
      <c r="E2055" s="55" t="s">
        <v>3806</v>
      </c>
      <c r="F2055" s="55" t="s">
        <v>206</v>
      </c>
      <c r="G2055" s="55" t="s">
        <v>548</v>
      </c>
      <c r="H2055" s="50" t="s">
        <v>3807</v>
      </c>
    </row>
    <row r="2056" spans="1:62" x14ac:dyDescent="0.2">
      <c r="C2056" s="195">
        <v>44664</v>
      </c>
      <c r="D2056" s="55">
        <v>260</v>
      </c>
      <c r="E2056" s="55" t="s">
        <v>3808</v>
      </c>
      <c r="F2056" s="55" t="s">
        <v>196</v>
      </c>
      <c r="G2056" s="55" t="s">
        <v>352</v>
      </c>
      <c r="H2056" s="50" t="s">
        <v>3809</v>
      </c>
    </row>
    <row r="2057" spans="1:62" x14ac:dyDescent="0.2">
      <c r="C2057" s="195">
        <v>44672</v>
      </c>
      <c r="D2057" s="55">
        <v>280</v>
      </c>
      <c r="E2057" s="55" t="s">
        <v>3810</v>
      </c>
      <c r="F2057" s="55" t="s">
        <v>244</v>
      </c>
      <c r="G2057" s="55" t="s">
        <v>294</v>
      </c>
      <c r="H2057" s="50" t="s">
        <v>3811</v>
      </c>
    </row>
    <row r="2058" spans="1:62" x14ac:dyDescent="0.2">
      <c r="C2058" s="195">
        <v>44659</v>
      </c>
      <c r="D2058" s="55">
        <v>260</v>
      </c>
      <c r="E2058" s="55" t="s">
        <v>3812</v>
      </c>
      <c r="F2058" s="55" t="s">
        <v>231</v>
      </c>
      <c r="G2058" s="55" t="s">
        <v>782</v>
      </c>
      <c r="H2058" s="50" t="s">
        <v>3813</v>
      </c>
    </row>
    <row r="2059" spans="1:62" x14ac:dyDescent="0.2">
      <c r="C2059" s="195">
        <v>44670</v>
      </c>
      <c r="D2059" s="55">
        <v>260</v>
      </c>
      <c r="E2059" s="55" t="s">
        <v>3814</v>
      </c>
      <c r="F2059" s="55" t="s">
        <v>291</v>
      </c>
      <c r="G2059" s="55" t="s">
        <v>480</v>
      </c>
      <c r="H2059" s="50" t="s">
        <v>3815</v>
      </c>
    </row>
    <row r="2060" spans="1:62" x14ac:dyDescent="0.2">
      <c r="C2060" s="195">
        <v>44658</v>
      </c>
      <c r="D2060" s="55">
        <v>260</v>
      </c>
      <c r="E2060" s="55" t="s">
        <v>3816</v>
      </c>
      <c r="F2060" s="55" t="s">
        <v>390</v>
      </c>
      <c r="G2060" s="55" t="s">
        <v>779</v>
      </c>
      <c r="H2060" s="50" t="s">
        <v>3817</v>
      </c>
    </row>
    <row r="2061" spans="1:62" x14ac:dyDescent="0.2">
      <c r="C2061" s="195">
        <v>44676</v>
      </c>
      <c r="D2061" s="55">
        <v>260</v>
      </c>
      <c r="E2061" s="55" t="s">
        <v>3818</v>
      </c>
      <c r="F2061" s="55" t="s">
        <v>231</v>
      </c>
      <c r="G2061" s="55" t="s">
        <v>1189</v>
      </c>
      <c r="H2061" s="50" t="s">
        <v>3819</v>
      </c>
    </row>
    <row r="2062" spans="1:62" x14ac:dyDescent="0.2">
      <c r="C2062" s="195">
        <v>44657</v>
      </c>
      <c r="D2062" s="55">
        <v>260</v>
      </c>
      <c r="E2062" s="55" t="s">
        <v>3820</v>
      </c>
      <c r="F2062" s="55" t="s">
        <v>192</v>
      </c>
      <c r="G2062" s="55" t="s">
        <v>324</v>
      </c>
      <c r="H2062" s="50" t="s">
        <v>3821</v>
      </c>
    </row>
    <row r="2063" spans="1:62" x14ac:dyDescent="0.2">
      <c r="C2063" s="195">
        <v>44680</v>
      </c>
      <c r="D2063" s="55">
        <v>280</v>
      </c>
      <c r="E2063" s="55" t="s">
        <v>3822</v>
      </c>
      <c r="F2063" s="55" t="s">
        <v>263</v>
      </c>
      <c r="G2063" s="55" t="s">
        <v>806</v>
      </c>
    </row>
    <row r="2064" spans="1:62" x14ac:dyDescent="0.2">
      <c r="C2064" s="195">
        <v>44655</v>
      </c>
      <c r="D2064" s="55">
        <v>260</v>
      </c>
      <c r="E2064" s="55" t="s">
        <v>3823</v>
      </c>
      <c r="F2064" s="55" t="s">
        <v>390</v>
      </c>
      <c r="G2064" s="55" t="s">
        <v>671</v>
      </c>
      <c r="H2064" s="50" t="s">
        <v>3824</v>
      </c>
    </row>
    <row r="2065" spans="1:62" x14ac:dyDescent="0.2">
      <c r="A2065" s="57">
        <v>422</v>
      </c>
      <c r="B2065" s="162" t="s">
        <v>836</v>
      </c>
      <c r="C2065" s="195">
        <v>44665</v>
      </c>
      <c r="D2065" s="55">
        <v>260</v>
      </c>
      <c r="E2065" s="55" t="s">
        <v>3825</v>
      </c>
      <c r="F2065" s="55" t="s">
        <v>267</v>
      </c>
      <c r="G2065" s="55" t="s">
        <v>331</v>
      </c>
      <c r="H2065" s="50" t="s">
        <v>224</v>
      </c>
      <c r="I2065" s="46" t="s">
        <v>839</v>
      </c>
      <c r="J2065" s="52">
        <v>1</v>
      </c>
      <c r="K2065" s="52">
        <v>1</v>
      </c>
      <c r="O2065" s="1">
        <v>1</v>
      </c>
      <c r="S2065" s="1">
        <v>1</v>
      </c>
      <c r="W2065" s="1">
        <v>1</v>
      </c>
      <c r="AA2065" s="1">
        <v>5</v>
      </c>
      <c r="AG2065">
        <v>5</v>
      </c>
      <c r="AM2065">
        <v>5</v>
      </c>
      <c r="AS2065">
        <v>5</v>
      </c>
      <c r="AT2065">
        <v>5</v>
      </c>
      <c r="AU2065">
        <v>5</v>
      </c>
      <c r="AZ2065">
        <v>5</v>
      </c>
      <c r="BA2065">
        <v>4</v>
      </c>
      <c r="BB2065">
        <v>4</v>
      </c>
      <c r="BC2065">
        <v>4</v>
      </c>
      <c r="BD2065">
        <v>4</v>
      </c>
      <c r="BE2065">
        <v>5</v>
      </c>
      <c r="BJ2065">
        <v>5</v>
      </c>
    </row>
    <row r="2066" spans="1:62" x14ac:dyDescent="0.2">
      <c r="C2066" s="195">
        <v>44657</v>
      </c>
      <c r="D2066" s="55">
        <v>260</v>
      </c>
      <c r="E2066" s="55" t="s">
        <v>3826</v>
      </c>
      <c r="F2066" s="55" t="s">
        <v>192</v>
      </c>
      <c r="G2066" s="55" t="s">
        <v>258</v>
      </c>
      <c r="H2066" s="50" t="s">
        <v>3827</v>
      </c>
    </row>
    <row r="2067" spans="1:62" x14ac:dyDescent="0.2">
      <c r="C2067" s="195">
        <v>44679</v>
      </c>
      <c r="D2067" s="55">
        <v>280</v>
      </c>
      <c r="E2067" s="55" t="s">
        <v>3828</v>
      </c>
      <c r="F2067" s="55" t="s">
        <v>231</v>
      </c>
      <c r="G2067" s="55" t="s">
        <v>3096</v>
      </c>
      <c r="H2067" s="50" t="s">
        <v>3829</v>
      </c>
    </row>
    <row r="2068" spans="1:62" x14ac:dyDescent="0.2">
      <c r="C2068" s="195">
        <v>44680</v>
      </c>
      <c r="D2068" s="55">
        <v>280</v>
      </c>
      <c r="E2068" s="55" t="s">
        <v>3830</v>
      </c>
      <c r="F2068" s="55" t="s">
        <v>272</v>
      </c>
      <c r="G2068" s="55" t="s">
        <v>273</v>
      </c>
      <c r="H2068" s="50" t="s">
        <v>3831</v>
      </c>
    </row>
    <row r="2069" spans="1:62" x14ac:dyDescent="0.2">
      <c r="C2069" s="195">
        <v>44654</v>
      </c>
      <c r="D2069" s="55">
        <v>260</v>
      </c>
      <c r="E2069" s="55" t="s">
        <v>3832</v>
      </c>
      <c r="F2069" s="55" t="s">
        <v>244</v>
      </c>
      <c r="G2069" s="55" t="s">
        <v>2759</v>
      </c>
      <c r="H2069" s="50" t="s">
        <v>3833</v>
      </c>
    </row>
    <row r="2070" spans="1:62" x14ac:dyDescent="0.2">
      <c r="C2070" s="195">
        <v>44665</v>
      </c>
      <c r="D2070" s="55">
        <v>280</v>
      </c>
      <c r="E2070" s="55" t="s">
        <v>3834</v>
      </c>
      <c r="F2070" s="55" t="s">
        <v>390</v>
      </c>
      <c r="G2070" s="55" t="s">
        <v>922</v>
      </c>
      <c r="H2070" s="50" t="s">
        <v>3835</v>
      </c>
    </row>
    <row r="2071" spans="1:62" x14ac:dyDescent="0.2">
      <c r="C2071" s="195">
        <v>44679</v>
      </c>
      <c r="D2071" s="55">
        <v>260</v>
      </c>
      <c r="E2071" s="55" t="s">
        <v>3836</v>
      </c>
      <c r="F2071" s="55" t="s">
        <v>192</v>
      </c>
      <c r="G2071" s="55" t="s">
        <v>453</v>
      </c>
      <c r="H2071" s="50" t="s">
        <v>3837</v>
      </c>
    </row>
    <row r="2072" spans="1:62" x14ac:dyDescent="0.2">
      <c r="C2072" s="195">
        <v>44659</v>
      </c>
      <c r="D2072" s="55">
        <v>260</v>
      </c>
      <c r="E2072" s="55" t="s">
        <v>3838</v>
      </c>
      <c r="F2072" s="55" t="s">
        <v>244</v>
      </c>
      <c r="G2072" s="55" t="s">
        <v>393</v>
      </c>
      <c r="H2072" s="50" t="s">
        <v>3839</v>
      </c>
    </row>
    <row r="2073" spans="1:62" x14ac:dyDescent="0.2">
      <c r="C2073" s="195">
        <v>44665</v>
      </c>
      <c r="D2073" s="55">
        <v>280</v>
      </c>
      <c r="E2073" s="55" t="s">
        <v>3840</v>
      </c>
      <c r="F2073" s="55" t="s">
        <v>231</v>
      </c>
      <c r="G2073" s="55" t="s">
        <v>782</v>
      </c>
      <c r="H2073" s="50" t="s">
        <v>3841</v>
      </c>
    </row>
    <row r="2074" spans="1:62" x14ac:dyDescent="0.2">
      <c r="C2074" s="195">
        <v>44670</v>
      </c>
      <c r="D2074" s="55">
        <v>260</v>
      </c>
      <c r="E2074" s="55" t="s">
        <v>3842</v>
      </c>
      <c r="F2074" s="55" t="s">
        <v>206</v>
      </c>
      <c r="G2074" s="55" t="s">
        <v>676</v>
      </c>
      <c r="H2074" s="50" t="s">
        <v>3843</v>
      </c>
    </row>
    <row r="2075" spans="1:62" x14ac:dyDescent="0.2">
      <c r="C2075" s="195">
        <v>44658</v>
      </c>
      <c r="D2075" s="55">
        <v>260</v>
      </c>
      <c r="E2075" s="55" t="s">
        <v>3844</v>
      </c>
      <c r="F2075" s="55" t="s">
        <v>210</v>
      </c>
      <c r="G2075" s="55" t="s">
        <v>1572</v>
      </c>
      <c r="H2075" s="50" t="s">
        <v>3845</v>
      </c>
    </row>
    <row r="2076" spans="1:62" x14ac:dyDescent="0.2">
      <c r="C2076" s="195">
        <v>44662</v>
      </c>
      <c r="D2076" s="55">
        <v>280</v>
      </c>
      <c r="E2076" s="55" t="s">
        <v>3846</v>
      </c>
      <c r="F2076" s="55" t="s">
        <v>390</v>
      </c>
      <c r="G2076" s="55" t="s">
        <v>391</v>
      </c>
      <c r="H2076" s="50" t="s">
        <v>3847</v>
      </c>
    </row>
    <row r="2077" spans="1:62" x14ac:dyDescent="0.2">
      <c r="C2077" s="195">
        <v>44669</v>
      </c>
      <c r="D2077" s="55">
        <v>260</v>
      </c>
      <c r="E2077" s="55" t="s">
        <v>3848</v>
      </c>
      <c r="F2077" s="55" t="s">
        <v>206</v>
      </c>
      <c r="G2077" s="55" t="s">
        <v>548</v>
      </c>
      <c r="H2077" s="50" t="s">
        <v>3849</v>
      </c>
    </row>
    <row r="2078" spans="1:62" x14ac:dyDescent="0.2">
      <c r="C2078" s="195">
        <v>44657</v>
      </c>
      <c r="D2078" s="55">
        <v>260</v>
      </c>
      <c r="E2078" s="55" t="s">
        <v>3850</v>
      </c>
      <c r="F2078" s="55" t="s">
        <v>206</v>
      </c>
      <c r="G2078" s="55" t="s">
        <v>207</v>
      </c>
      <c r="H2078" s="50" t="s">
        <v>3851</v>
      </c>
    </row>
    <row r="2079" spans="1:62" x14ac:dyDescent="0.2">
      <c r="C2079" s="195">
        <v>44680</v>
      </c>
      <c r="D2079" s="55">
        <v>260</v>
      </c>
      <c r="E2079" s="55" t="s">
        <v>3852</v>
      </c>
      <c r="F2079" s="55" t="s">
        <v>231</v>
      </c>
      <c r="G2079" s="55" t="s">
        <v>421</v>
      </c>
      <c r="H2079" s="50" t="s">
        <v>3853</v>
      </c>
    </row>
    <row r="2080" spans="1:62" x14ac:dyDescent="0.2">
      <c r="A2080" s="57">
        <v>422</v>
      </c>
      <c r="B2080" s="162" t="s">
        <v>836</v>
      </c>
      <c r="C2080" s="195">
        <v>44655</v>
      </c>
      <c r="D2080" s="55">
        <v>260</v>
      </c>
      <c r="E2080" s="55" t="s">
        <v>3854</v>
      </c>
      <c r="F2080" s="55" t="s">
        <v>202</v>
      </c>
      <c r="G2080" s="55" t="s">
        <v>297</v>
      </c>
      <c r="I2080" s="46" t="s">
        <v>839</v>
      </c>
      <c r="J2080" s="52">
        <v>1</v>
      </c>
      <c r="K2080" s="52">
        <v>1</v>
      </c>
      <c r="O2080" s="1">
        <v>1</v>
      </c>
      <c r="S2080" s="1">
        <v>1</v>
      </c>
      <c r="W2080" s="1">
        <v>1</v>
      </c>
      <c r="AA2080" s="1">
        <v>1</v>
      </c>
      <c r="AG2080">
        <v>1</v>
      </c>
      <c r="AM2080">
        <v>1</v>
      </c>
      <c r="AN2080">
        <v>1</v>
      </c>
      <c r="AO2080">
        <v>1</v>
      </c>
      <c r="AP2080">
        <v>2</v>
      </c>
      <c r="AQ2080">
        <v>2</v>
      </c>
      <c r="AR2080">
        <v>2</v>
      </c>
      <c r="AS2080">
        <v>1</v>
      </c>
      <c r="AT2080">
        <v>1</v>
      </c>
      <c r="AU2080">
        <v>1</v>
      </c>
      <c r="AZ2080">
        <v>5</v>
      </c>
      <c r="BA2080">
        <v>4</v>
      </c>
      <c r="BB2080">
        <v>4</v>
      </c>
      <c r="BC2080">
        <v>4</v>
      </c>
      <c r="BD2080">
        <v>4</v>
      </c>
      <c r="BE2080">
        <v>5</v>
      </c>
      <c r="BJ2080">
        <v>1</v>
      </c>
    </row>
    <row r="2081" spans="1:62" x14ac:dyDescent="0.2">
      <c r="C2081" s="195">
        <v>44652</v>
      </c>
      <c r="D2081" s="55">
        <v>280</v>
      </c>
      <c r="E2081" s="55" t="s">
        <v>3855</v>
      </c>
      <c r="F2081" s="55" t="s">
        <v>244</v>
      </c>
      <c r="G2081" s="55" t="s">
        <v>315</v>
      </c>
      <c r="H2081" s="50" t="s">
        <v>224</v>
      </c>
    </row>
    <row r="2082" spans="1:62" x14ac:dyDescent="0.2">
      <c r="C2082" s="195">
        <v>44671</v>
      </c>
      <c r="D2082" s="55">
        <v>280</v>
      </c>
      <c r="E2082" s="55" t="s">
        <v>3856</v>
      </c>
      <c r="F2082" s="55" t="s">
        <v>231</v>
      </c>
      <c r="G2082" s="55" t="s">
        <v>1098</v>
      </c>
      <c r="H2082" s="50" t="s">
        <v>3857</v>
      </c>
    </row>
    <row r="2083" spans="1:62" x14ac:dyDescent="0.2">
      <c r="C2083" s="195">
        <v>44678</v>
      </c>
      <c r="D2083" s="55">
        <v>280</v>
      </c>
      <c r="E2083" s="55" t="s">
        <v>3858</v>
      </c>
      <c r="F2083" s="55" t="s">
        <v>244</v>
      </c>
      <c r="G2083" s="55" t="s">
        <v>315</v>
      </c>
      <c r="H2083" s="50" t="s">
        <v>3859</v>
      </c>
    </row>
    <row r="2084" spans="1:62" x14ac:dyDescent="0.2">
      <c r="C2084" s="195">
        <v>44658</v>
      </c>
      <c r="D2084" s="55">
        <v>280</v>
      </c>
      <c r="E2084" s="55" t="s">
        <v>3860</v>
      </c>
      <c r="F2084" s="55" t="s">
        <v>291</v>
      </c>
      <c r="G2084" s="55" t="s">
        <v>607</v>
      </c>
      <c r="H2084" s="50" t="s">
        <v>3861</v>
      </c>
    </row>
    <row r="2085" spans="1:62" x14ac:dyDescent="0.2">
      <c r="C2085" s="195">
        <v>44680</v>
      </c>
      <c r="D2085" s="55">
        <v>260</v>
      </c>
      <c r="E2085" s="55" t="s">
        <v>3862</v>
      </c>
      <c r="F2085" s="55" t="s">
        <v>390</v>
      </c>
      <c r="G2085" s="55" t="s">
        <v>590</v>
      </c>
    </row>
    <row r="2086" spans="1:62" x14ac:dyDescent="0.2">
      <c r="C2086" s="195">
        <v>44652</v>
      </c>
      <c r="D2086" s="55">
        <v>260</v>
      </c>
      <c r="E2086" s="55" t="s">
        <v>3863</v>
      </c>
      <c r="F2086" s="55" t="s">
        <v>390</v>
      </c>
      <c r="G2086" s="55" t="s">
        <v>870</v>
      </c>
      <c r="H2086" s="50" t="s">
        <v>3864</v>
      </c>
    </row>
    <row r="2087" spans="1:62" x14ac:dyDescent="0.2">
      <c r="C2087" s="195">
        <v>44679</v>
      </c>
      <c r="D2087" s="55">
        <v>280</v>
      </c>
      <c r="E2087" s="55" t="s">
        <v>3865</v>
      </c>
      <c r="F2087" s="55" t="s">
        <v>231</v>
      </c>
      <c r="G2087" s="55" t="s">
        <v>421</v>
      </c>
      <c r="H2087" s="50" t="s">
        <v>3866</v>
      </c>
    </row>
    <row r="2088" spans="1:62" x14ac:dyDescent="0.2">
      <c r="C2088" s="195">
        <v>44672</v>
      </c>
      <c r="D2088" s="55">
        <v>280</v>
      </c>
      <c r="E2088" s="55" t="s">
        <v>3867</v>
      </c>
      <c r="F2088" s="55" t="s">
        <v>210</v>
      </c>
      <c r="G2088" s="55" t="s">
        <v>418</v>
      </c>
      <c r="H2088" s="50" t="s">
        <v>3868</v>
      </c>
    </row>
    <row r="2089" spans="1:62" x14ac:dyDescent="0.2">
      <c r="C2089" s="195">
        <v>44664</v>
      </c>
      <c r="D2089" s="55">
        <v>260</v>
      </c>
      <c r="E2089" s="55" t="s">
        <v>3869</v>
      </c>
      <c r="F2089" s="55" t="s">
        <v>219</v>
      </c>
      <c r="G2089" s="55" t="s">
        <v>223</v>
      </c>
      <c r="H2089" s="50" t="s">
        <v>3870</v>
      </c>
    </row>
    <row r="2090" spans="1:62" x14ac:dyDescent="0.2">
      <c r="C2090" s="195">
        <v>44664</v>
      </c>
      <c r="D2090" s="55">
        <v>260</v>
      </c>
      <c r="E2090" s="55" t="s">
        <v>3871</v>
      </c>
      <c r="F2090" s="55" t="s">
        <v>196</v>
      </c>
      <c r="G2090" s="55" t="s">
        <v>645</v>
      </c>
      <c r="H2090" s="50" t="s">
        <v>3872</v>
      </c>
    </row>
    <row r="2091" spans="1:62" x14ac:dyDescent="0.2">
      <c r="C2091" s="195">
        <v>44657</v>
      </c>
      <c r="D2091" s="55">
        <v>260</v>
      </c>
      <c r="E2091" s="55" t="s">
        <v>3873</v>
      </c>
      <c r="F2091" s="55" t="s">
        <v>244</v>
      </c>
      <c r="G2091" s="55" t="s">
        <v>294</v>
      </c>
      <c r="H2091" s="50" t="s">
        <v>3874</v>
      </c>
    </row>
    <row r="2092" spans="1:62" x14ac:dyDescent="0.2">
      <c r="C2092" s="195">
        <v>44659</v>
      </c>
      <c r="D2092" s="55">
        <v>280</v>
      </c>
      <c r="E2092" s="55" t="s">
        <v>3875</v>
      </c>
      <c r="F2092" s="55" t="s">
        <v>263</v>
      </c>
      <c r="G2092" s="55" t="s">
        <v>613</v>
      </c>
      <c r="H2092" s="50" t="s">
        <v>3876</v>
      </c>
    </row>
    <row r="2093" spans="1:62" x14ac:dyDescent="0.2">
      <c r="C2093" s="195">
        <v>44655</v>
      </c>
      <c r="D2093" s="55">
        <v>260</v>
      </c>
      <c r="E2093" s="55" t="s">
        <v>3877</v>
      </c>
      <c r="F2093" s="55" t="s">
        <v>231</v>
      </c>
      <c r="G2093" s="55" t="s">
        <v>648</v>
      </c>
      <c r="H2093" s="50" t="s">
        <v>224</v>
      </c>
    </row>
    <row r="2094" spans="1:62" x14ac:dyDescent="0.2">
      <c r="C2094" s="195">
        <v>44671</v>
      </c>
      <c r="D2094" s="55">
        <v>260</v>
      </c>
      <c r="E2094" s="55" t="s">
        <v>3878</v>
      </c>
      <c r="F2094" s="55" t="s">
        <v>231</v>
      </c>
      <c r="G2094" s="55" t="s">
        <v>435</v>
      </c>
      <c r="H2094" s="50" t="s">
        <v>3879</v>
      </c>
    </row>
    <row r="2095" spans="1:62" x14ac:dyDescent="0.2">
      <c r="A2095" s="57">
        <v>422</v>
      </c>
      <c r="B2095" s="162" t="s">
        <v>836</v>
      </c>
      <c r="C2095" s="195">
        <v>44680</v>
      </c>
      <c r="D2095" s="55">
        <v>260</v>
      </c>
      <c r="E2095" s="55" t="s">
        <v>3880</v>
      </c>
      <c r="F2095" s="55" t="s">
        <v>210</v>
      </c>
      <c r="G2095" s="55" t="s">
        <v>383</v>
      </c>
      <c r="H2095" s="50" t="s">
        <v>224</v>
      </c>
      <c r="I2095" s="46" t="s">
        <v>839</v>
      </c>
      <c r="J2095" s="52">
        <v>1</v>
      </c>
      <c r="K2095" s="52">
        <v>1</v>
      </c>
      <c r="O2095" s="1">
        <v>1</v>
      </c>
      <c r="S2095" s="1">
        <v>1</v>
      </c>
      <c r="W2095" s="1">
        <v>1</v>
      </c>
      <c r="AA2095" s="1">
        <v>1</v>
      </c>
      <c r="AG2095">
        <v>1</v>
      </c>
      <c r="AM2095">
        <v>4</v>
      </c>
      <c r="AS2095">
        <v>4</v>
      </c>
      <c r="AT2095">
        <v>1</v>
      </c>
      <c r="AU2095">
        <v>1</v>
      </c>
      <c r="AZ2095">
        <v>1</v>
      </c>
      <c r="BA2095">
        <v>1</v>
      </c>
      <c r="BB2095">
        <v>1</v>
      </c>
      <c r="BC2095">
        <v>1</v>
      </c>
      <c r="BD2095">
        <v>1</v>
      </c>
      <c r="BE2095">
        <v>1</v>
      </c>
      <c r="BJ2095">
        <v>1</v>
      </c>
    </row>
    <row r="2096" spans="1:62" x14ac:dyDescent="0.2">
      <c r="C2096" s="195">
        <v>44664</v>
      </c>
      <c r="D2096" s="55">
        <v>260</v>
      </c>
      <c r="E2096" s="55" t="s">
        <v>3881</v>
      </c>
      <c r="F2096" s="55" t="s">
        <v>219</v>
      </c>
      <c r="G2096" s="55" t="s">
        <v>220</v>
      </c>
      <c r="H2096" s="50" t="s">
        <v>3882</v>
      </c>
    </row>
    <row r="2097" spans="1:62" x14ac:dyDescent="0.2">
      <c r="C2097" s="195">
        <v>44677</v>
      </c>
      <c r="D2097" s="55">
        <v>280</v>
      </c>
      <c r="E2097" s="55" t="s">
        <v>3883</v>
      </c>
      <c r="F2097" s="55" t="s">
        <v>231</v>
      </c>
      <c r="G2097" s="55" t="s">
        <v>232</v>
      </c>
      <c r="H2097" s="50" t="s">
        <v>3884</v>
      </c>
    </row>
    <row r="2098" spans="1:62" x14ac:dyDescent="0.2">
      <c r="C2098" s="195">
        <v>44669</v>
      </c>
      <c r="D2098" s="55">
        <v>280</v>
      </c>
      <c r="E2098" s="55" t="s">
        <v>3885</v>
      </c>
      <c r="F2098" s="55" t="s">
        <v>219</v>
      </c>
      <c r="G2098" s="55" t="s">
        <v>451</v>
      </c>
      <c r="H2098" s="50" t="s">
        <v>3886</v>
      </c>
    </row>
    <row r="2099" spans="1:62" x14ac:dyDescent="0.2">
      <c r="C2099" s="195">
        <v>44658</v>
      </c>
      <c r="D2099" s="55">
        <v>280</v>
      </c>
      <c r="E2099" s="55" t="s">
        <v>3887</v>
      </c>
      <c r="F2099" s="55" t="s">
        <v>202</v>
      </c>
      <c r="G2099" s="55" t="s">
        <v>344</v>
      </c>
    </row>
    <row r="2100" spans="1:62" x14ac:dyDescent="0.2">
      <c r="C2100" s="195">
        <v>44662</v>
      </c>
      <c r="D2100" s="55">
        <v>280</v>
      </c>
      <c r="E2100" s="55" t="s">
        <v>3888</v>
      </c>
      <c r="F2100" s="55" t="s">
        <v>196</v>
      </c>
      <c r="G2100" s="55" t="s">
        <v>3889</v>
      </c>
      <c r="H2100" s="50" t="s">
        <v>3890</v>
      </c>
    </row>
    <row r="2101" spans="1:62" x14ac:dyDescent="0.2">
      <c r="C2101" s="195">
        <v>44678</v>
      </c>
      <c r="D2101" s="55">
        <v>260</v>
      </c>
      <c r="E2101" s="55" t="s">
        <v>3891</v>
      </c>
      <c r="F2101" s="55" t="s">
        <v>210</v>
      </c>
      <c r="G2101" s="55" t="s">
        <v>235</v>
      </c>
      <c r="H2101" s="50" t="s">
        <v>3892</v>
      </c>
    </row>
    <row r="2102" spans="1:62" x14ac:dyDescent="0.2">
      <c r="A2102" s="57">
        <v>422</v>
      </c>
      <c r="B2102" s="162" t="s">
        <v>836</v>
      </c>
      <c r="C2102" s="195">
        <v>44662</v>
      </c>
      <c r="D2102" s="55">
        <v>260</v>
      </c>
      <c r="E2102" s="55" t="s">
        <v>3893</v>
      </c>
      <c r="F2102" s="55" t="s">
        <v>291</v>
      </c>
      <c r="G2102" s="55" t="s">
        <v>607</v>
      </c>
      <c r="I2102" s="46" t="s">
        <v>839</v>
      </c>
      <c r="J2102" s="52">
        <v>1</v>
      </c>
      <c r="K2102" s="52">
        <v>1</v>
      </c>
      <c r="O2102" s="1">
        <v>1</v>
      </c>
      <c r="S2102" s="1">
        <v>1</v>
      </c>
      <c r="W2102" s="1">
        <v>1</v>
      </c>
      <c r="AA2102" s="1">
        <v>1</v>
      </c>
      <c r="AG2102">
        <v>1</v>
      </c>
      <c r="AM2102">
        <v>1</v>
      </c>
      <c r="AN2102">
        <v>4</v>
      </c>
      <c r="AO2102">
        <v>4</v>
      </c>
      <c r="AP2102">
        <v>4</v>
      </c>
      <c r="AQ2102">
        <v>4</v>
      </c>
      <c r="AR2102">
        <v>4</v>
      </c>
      <c r="AS2102">
        <v>4</v>
      </c>
      <c r="AT2102">
        <v>1</v>
      </c>
      <c r="AU2102">
        <v>1</v>
      </c>
      <c r="AZ2102">
        <v>1</v>
      </c>
      <c r="BA2102">
        <v>1</v>
      </c>
      <c r="BB2102">
        <v>1</v>
      </c>
      <c r="BC2102">
        <v>1</v>
      </c>
      <c r="BD2102">
        <v>1</v>
      </c>
      <c r="BE2102">
        <v>1</v>
      </c>
      <c r="BJ2102">
        <v>1</v>
      </c>
    </row>
    <row r="2103" spans="1:62" x14ac:dyDescent="0.2">
      <c r="C2103" s="195">
        <v>44658</v>
      </c>
      <c r="D2103" s="55">
        <v>260</v>
      </c>
      <c r="E2103" s="55" t="s">
        <v>3894</v>
      </c>
      <c r="F2103" s="55" t="s">
        <v>192</v>
      </c>
      <c r="G2103" s="55" t="s">
        <v>401</v>
      </c>
      <c r="H2103" s="50" t="s">
        <v>3895</v>
      </c>
    </row>
    <row r="2104" spans="1:62" x14ac:dyDescent="0.2">
      <c r="C2104" s="195">
        <v>44671</v>
      </c>
      <c r="D2104" s="55">
        <v>260</v>
      </c>
      <c r="E2104" s="55" t="s">
        <v>3896</v>
      </c>
      <c r="F2104" s="55" t="s">
        <v>267</v>
      </c>
      <c r="G2104" s="55" t="s">
        <v>268</v>
      </c>
      <c r="H2104" s="50" t="s">
        <v>3897</v>
      </c>
    </row>
    <row r="2105" spans="1:62" x14ac:dyDescent="0.2">
      <c r="C2105" s="195">
        <v>44665</v>
      </c>
      <c r="D2105" s="55">
        <v>280</v>
      </c>
      <c r="E2105" s="55" t="s">
        <v>3898</v>
      </c>
      <c r="F2105" s="55" t="s">
        <v>390</v>
      </c>
      <c r="G2105" s="55" t="s">
        <v>922</v>
      </c>
      <c r="H2105" s="50" t="s">
        <v>3899</v>
      </c>
    </row>
    <row r="2106" spans="1:62" x14ac:dyDescent="0.2">
      <c r="C2106" s="195">
        <v>44677</v>
      </c>
      <c r="D2106" s="55">
        <v>280</v>
      </c>
      <c r="E2106" s="55" t="s">
        <v>3900</v>
      </c>
      <c r="F2106" s="55" t="s">
        <v>231</v>
      </c>
      <c r="G2106" s="55" t="s">
        <v>232</v>
      </c>
      <c r="H2106" s="50" t="s">
        <v>3901</v>
      </c>
    </row>
    <row r="2107" spans="1:62" x14ac:dyDescent="0.2">
      <c r="C2107" s="195">
        <v>44680</v>
      </c>
      <c r="D2107" s="55">
        <v>280</v>
      </c>
      <c r="E2107" s="55" t="s">
        <v>3902</v>
      </c>
      <c r="F2107" s="55" t="s">
        <v>210</v>
      </c>
      <c r="G2107" s="55" t="s">
        <v>508</v>
      </c>
      <c r="H2107" s="50" t="s">
        <v>3903</v>
      </c>
    </row>
    <row r="2108" spans="1:62" x14ac:dyDescent="0.2">
      <c r="C2108" s="195">
        <v>44673</v>
      </c>
      <c r="D2108" s="55">
        <v>260</v>
      </c>
      <c r="E2108" s="55" t="s">
        <v>3904</v>
      </c>
      <c r="F2108" s="55" t="s">
        <v>272</v>
      </c>
      <c r="G2108" s="55" t="s">
        <v>683</v>
      </c>
      <c r="H2108" s="50" t="s">
        <v>3905</v>
      </c>
    </row>
    <row r="2109" spans="1:62" x14ac:dyDescent="0.2">
      <c r="C2109" s="195">
        <v>44657</v>
      </c>
      <c r="D2109" s="55">
        <v>280</v>
      </c>
      <c r="E2109" s="55" t="s">
        <v>3168</v>
      </c>
      <c r="F2109" s="55" t="s">
        <v>291</v>
      </c>
      <c r="G2109" s="55" t="s">
        <v>819</v>
      </c>
      <c r="H2109" s="50" t="s">
        <v>224</v>
      </c>
    </row>
    <row r="2110" spans="1:62" x14ac:dyDescent="0.2">
      <c r="C2110" s="195">
        <v>44677</v>
      </c>
      <c r="D2110" s="55">
        <v>280</v>
      </c>
      <c r="E2110" s="55" t="s">
        <v>3906</v>
      </c>
      <c r="F2110" s="55" t="s">
        <v>231</v>
      </c>
      <c r="G2110" s="55" t="s">
        <v>371</v>
      </c>
      <c r="H2110" s="50" t="s">
        <v>3907</v>
      </c>
    </row>
    <row r="2111" spans="1:62" x14ac:dyDescent="0.2">
      <c r="C2111" s="195">
        <v>44662</v>
      </c>
      <c r="D2111" s="55">
        <v>280</v>
      </c>
      <c r="E2111" s="55" t="s">
        <v>3908</v>
      </c>
      <c r="F2111" s="55" t="s">
        <v>196</v>
      </c>
      <c r="G2111" s="55" t="s">
        <v>197</v>
      </c>
      <c r="H2111" s="50" t="s">
        <v>3909</v>
      </c>
    </row>
    <row r="2112" spans="1:62" x14ac:dyDescent="0.2">
      <c r="C2112" s="195">
        <v>44657</v>
      </c>
      <c r="D2112" s="55">
        <v>260</v>
      </c>
      <c r="E2112" s="55" t="s">
        <v>3910</v>
      </c>
      <c r="F2112" s="55" t="s">
        <v>291</v>
      </c>
      <c r="G2112" s="55" t="s">
        <v>607</v>
      </c>
      <c r="H2112" s="50" t="s">
        <v>224</v>
      </c>
    </row>
    <row r="2113" spans="1:62" x14ac:dyDescent="0.2">
      <c r="C2113" s="195">
        <v>44659</v>
      </c>
      <c r="D2113" s="55">
        <v>280</v>
      </c>
      <c r="E2113" s="55" t="s">
        <v>3911</v>
      </c>
      <c r="F2113" s="55" t="s">
        <v>196</v>
      </c>
      <c r="G2113" s="55" t="s">
        <v>361</v>
      </c>
      <c r="H2113" s="50" t="s">
        <v>3912</v>
      </c>
    </row>
    <row r="2114" spans="1:62" x14ac:dyDescent="0.2">
      <c r="C2114" s="195">
        <v>44652</v>
      </c>
      <c r="D2114" s="55">
        <v>280</v>
      </c>
      <c r="E2114" s="55" t="s">
        <v>3913</v>
      </c>
      <c r="F2114" s="55" t="s">
        <v>244</v>
      </c>
      <c r="G2114" s="55" t="s">
        <v>315</v>
      </c>
      <c r="H2114" s="50" t="s">
        <v>3914</v>
      </c>
    </row>
    <row r="2115" spans="1:62" x14ac:dyDescent="0.2">
      <c r="C2115" s="195">
        <v>44679</v>
      </c>
      <c r="D2115" s="55">
        <v>260</v>
      </c>
      <c r="E2115" s="55" t="s">
        <v>3915</v>
      </c>
      <c r="F2115" s="55" t="s">
        <v>291</v>
      </c>
      <c r="G2115" s="55" t="s">
        <v>607</v>
      </c>
      <c r="H2115" s="50" t="s">
        <v>3916</v>
      </c>
    </row>
    <row r="2116" spans="1:62" x14ac:dyDescent="0.2">
      <c r="C2116" s="195">
        <v>44664</v>
      </c>
      <c r="D2116" s="55">
        <v>280</v>
      </c>
      <c r="E2116" s="55" t="s">
        <v>3917</v>
      </c>
      <c r="F2116" s="55" t="s">
        <v>196</v>
      </c>
      <c r="G2116" s="55" t="s">
        <v>645</v>
      </c>
      <c r="H2116" s="50" t="s">
        <v>3918</v>
      </c>
    </row>
    <row r="2117" spans="1:62" x14ac:dyDescent="0.2">
      <c r="C2117" s="195">
        <v>44680</v>
      </c>
      <c r="D2117" s="55">
        <v>260</v>
      </c>
      <c r="E2117" s="55" t="s">
        <v>3919</v>
      </c>
      <c r="F2117" s="55" t="s">
        <v>390</v>
      </c>
      <c r="G2117" s="55" t="s">
        <v>671</v>
      </c>
      <c r="H2117" s="50" t="s">
        <v>3920</v>
      </c>
    </row>
    <row r="2118" spans="1:62" x14ac:dyDescent="0.2">
      <c r="C2118" s="195">
        <v>44659</v>
      </c>
      <c r="D2118" s="55">
        <v>280</v>
      </c>
      <c r="E2118" s="55" t="s">
        <v>3921</v>
      </c>
      <c r="F2118" s="55" t="s">
        <v>263</v>
      </c>
      <c r="G2118" s="55" t="s">
        <v>1360</v>
      </c>
      <c r="H2118" s="50" t="s">
        <v>3922</v>
      </c>
    </row>
    <row r="2119" spans="1:62" x14ac:dyDescent="0.2">
      <c r="C2119" s="195">
        <v>44655</v>
      </c>
      <c r="D2119" s="55">
        <v>260</v>
      </c>
      <c r="E2119" s="55" t="s">
        <v>3923</v>
      </c>
      <c r="F2119" s="55" t="s">
        <v>244</v>
      </c>
      <c r="G2119" s="55" t="s">
        <v>696</v>
      </c>
      <c r="H2119" s="50" t="s">
        <v>3924</v>
      </c>
    </row>
    <row r="2120" spans="1:62" x14ac:dyDescent="0.2">
      <c r="C2120" s="195">
        <v>44656</v>
      </c>
      <c r="D2120" s="55">
        <v>260</v>
      </c>
      <c r="E2120" s="55" t="s">
        <v>3925</v>
      </c>
      <c r="F2120" s="55" t="s">
        <v>219</v>
      </c>
      <c r="G2120" s="55" t="s">
        <v>249</v>
      </c>
      <c r="H2120" s="50" t="s">
        <v>3926</v>
      </c>
    </row>
    <row r="2121" spans="1:62" x14ac:dyDescent="0.2">
      <c r="C2121" s="195">
        <v>44657</v>
      </c>
      <c r="D2121" s="55">
        <v>260</v>
      </c>
      <c r="E2121" s="55" t="s">
        <v>3927</v>
      </c>
      <c r="F2121" s="55" t="s">
        <v>267</v>
      </c>
      <c r="G2121" s="55" t="s">
        <v>331</v>
      </c>
      <c r="H2121" s="50" t="s">
        <v>3928</v>
      </c>
    </row>
    <row r="2122" spans="1:62" x14ac:dyDescent="0.2">
      <c r="A2122" s="57">
        <v>422</v>
      </c>
      <c r="B2122" s="162" t="s">
        <v>836</v>
      </c>
      <c r="C2122" s="195">
        <v>44656</v>
      </c>
      <c r="D2122" s="55">
        <v>260</v>
      </c>
      <c r="E2122" s="55" t="s">
        <v>3929</v>
      </c>
      <c r="F2122" s="55" t="s">
        <v>192</v>
      </c>
      <c r="G2122" s="55" t="s">
        <v>324</v>
      </c>
      <c r="H2122" s="50" t="s">
        <v>224</v>
      </c>
      <c r="I2122" s="46" t="s">
        <v>839</v>
      </c>
      <c r="J2122" s="52">
        <v>1</v>
      </c>
      <c r="K2122" s="52">
        <v>1</v>
      </c>
      <c r="O2122" s="1">
        <v>1</v>
      </c>
      <c r="S2122" s="1">
        <v>1</v>
      </c>
      <c r="W2122" s="1">
        <v>1</v>
      </c>
      <c r="AA2122" s="1">
        <v>1</v>
      </c>
      <c r="AG2122">
        <v>1</v>
      </c>
      <c r="AM2122">
        <v>1</v>
      </c>
      <c r="AN2122">
        <v>1</v>
      </c>
      <c r="AO2122">
        <v>1</v>
      </c>
      <c r="AP2122">
        <v>1</v>
      </c>
      <c r="AQ2122">
        <v>3</v>
      </c>
      <c r="AR2122">
        <v>3</v>
      </c>
      <c r="AS2122">
        <v>4</v>
      </c>
      <c r="AT2122">
        <v>1</v>
      </c>
      <c r="AU2122">
        <v>1</v>
      </c>
      <c r="AZ2122">
        <v>1</v>
      </c>
      <c r="BA2122">
        <v>1</v>
      </c>
      <c r="BB2122">
        <v>1</v>
      </c>
      <c r="BC2122">
        <v>1</v>
      </c>
      <c r="BD2122">
        <v>1</v>
      </c>
      <c r="BE2122">
        <v>1</v>
      </c>
      <c r="BJ2122">
        <v>1</v>
      </c>
    </row>
    <row r="2123" spans="1:62" x14ac:dyDescent="0.2">
      <c r="C2123" s="195">
        <v>44665</v>
      </c>
      <c r="D2123" s="55">
        <v>280</v>
      </c>
      <c r="E2123" s="55" t="s">
        <v>3930</v>
      </c>
      <c r="F2123" s="55" t="s">
        <v>291</v>
      </c>
      <c r="G2123" s="55" t="s">
        <v>643</v>
      </c>
      <c r="H2123" s="50" t="s">
        <v>3931</v>
      </c>
    </row>
    <row r="2124" spans="1:62" x14ac:dyDescent="0.2">
      <c r="C2124" s="195">
        <v>44672</v>
      </c>
      <c r="D2124" s="55">
        <v>280</v>
      </c>
      <c r="E2124" s="55" t="s">
        <v>3932</v>
      </c>
      <c r="F2124" s="55" t="s">
        <v>244</v>
      </c>
      <c r="G2124" s="55" t="s">
        <v>378</v>
      </c>
      <c r="H2124" s="50" t="s">
        <v>3933</v>
      </c>
    </row>
    <row r="2125" spans="1:62" x14ac:dyDescent="0.2">
      <c r="C2125" s="195">
        <v>44676</v>
      </c>
      <c r="D2125" s="55">
        <v>260</v>
      </c>
      <c r="E2125" s="55" t="s">
        <v>3934</v>
      </c>
      <c r="F2125" s="55" t="s">
        <v>231</v>
      </c>
      <c r="G2125" s="55" t="s">
        <v>1189</v>
      </c>
      <c r="H2125" s="50" t="s">
        <v>3935</v>
      </c>
    </row>
    <row r="2126" spans="1:62" x14ac:dyDescent="0.2">
      <c r="A2126" s="57">
        <v>422</v>
      </c>
      <c r="B2126" t="s">
        <v>836</v>
      </c>
      <c r="C2126" s="195">
        <v>44652</v>
      </c>
      <c r="D2126" s="55">
        <v>260</v>
      </c>
      <c r="E2126" s="55" t="s">
        <v>3936</v>
      </c>
      <c r="F2126" s="55" t="s">
        <v>196</v>
      </c>
      <c r="G2126" s="55" t="s">
        <v>415</v>
      </c>
      <c r="H2126" s="50" t="s">
        <v>224</v>
      </c>
      <c r="I2126" s="46" t="s">
        <v>837</v>
      </c>
    </row>
    <row r="2127" spans="1:62" x14ac:dyDescent="0.2">
      <c r="C2127" s="195">
        <v>44680</v>
      </c>
      <c r="D2127" s="55">
        <v>280</v>
      </c>
      <c r="E2127" s="55" t="s">
        <v>3937</v>
      </c>
      <c r="F2127" s="55" t="s">
        <v>390</v>
      </c>
      <c r="G2127" s="55" t="s">
        <v>590</v>
      </c>
      <c r="H2127" s="50" t="s">
        <v>3938</v>
      </c>
    </row>
    <row r="2128" spans="1:62" x14ac:dyDescent="0.2">
      <c r="C2128" s="195">
        <v>44657</v>
      </c>
      <c r="D2128" s="55">
        <v>280</v>
      </c>
      <c r="E2128" s="55" t="s">
        <v>3939</v>
      </c>
      <c r="F2128" s="55" t="s">
        <v>263</v>
      </c>
      <c r="G2128" s="55" t="s">
        <v>506</v>
      </c>
      <c r="H2128" s="50" t="s">
        <v>3940</v>
      </c>
    </row>
    <row r="2129" spans="1:9" x14ac:dyDescent="0.2">
      <c r="C2129" s="195">
        <v>44680</v>
      </c>
      <c r="D2129" s="55">
        <v>260</v>
      </c>
      <c r="E2129" s="55" t="s">
        <v>3941</v>
      </c>
      <c r="F2129" s="55" t="s">
        <v>231</v>
      </c>
      <c r="G2129" s="55" t="s">
        <v>421</v>
      </c>
      <c r="H2129" s="50" t="s">
        <v>3942</v>
      </c>
    </row>
    <row r="2130" spans="1:9" x14ac:dyDescent="0.2">
      <c r="C2130" s="195">
        <v>44677</v>
      </c>
      <c r="D2130" s="55">
        <v>280</v>
      </c>
      <c r="E2130" s="55" t="s">
        <v>3943</v>
      </c>
      <c r="F2130" s="55" t="s">
        <v>231</v>
      </c>
      <c r="G2130" s="55" t="s">
        <v>371</v>
      </c>
      <c r="H2130" s="50" t="s">
        <v>3944</v>
      </c>
    </row>
    <row r="2131" spans="1:9" x14ac:dyDescent="0.2">
      <c r="C2131" s="195">
        <v>44672</v>
      </c>
      <c r="D2131" s="55">
        <v>280</v>
      </c>
      <c r="E2131" s="55" t="s">
        <v>3945</v>
      </c>
      <c r="F2131" s="55" t="s">
        <v>192</v>
      </c>
      <c r="G2131" s="55" t="s">
        <v>453</v>
      </c>
      <c r="H2131" s="50" t="s">
        <v>3946</v>
      </c>
    </row>
    <row r="2132" spans="1:9" x14ac:dyDescent="0.2">
      <c r="C2132" s="195">
        <v>44655</v>
      </c>
      <c r="D2132" s="55">
        <v>260</v>
      </c>
      <c r="E2132" s="55" t="s">
        <v>3947</v>
      </c>
      <c r="F2132" s="55" t="s">
        <v>196</v>
      </c>
      <c r="G2132" s="55" t="s">
        <v>498</v>
      </c>
      <c r="H2132" s="50" t="s">
        <v>3948</v>
      </c>
    </row>
    <row r="2133" spans="1:9" x14ac:dyDescent="0.2">
      <c r="C2133" s="195">
        <v>44680</v>
      </c>
      <c r="D2133" s="55">
        <v>260</v>
      </c>
      <c r="E2133" s="55" t="s">
        <v>3949</v>
      </c>
      <c r="F2133" s="55" t="s">
        <v>192</v>
      </c>
      <c r="G2133" s="55" t="s">
        <v>640</v>
      </c>
      <c r="H2133" s="50" t="s">
        <v>3950</v>
      </c>
    </row>
    <row r="2134" spans="1:9" x14ac:dyDescent="0.2">
      <c r="C2134" s="195">
        <v>44679</v>
      </c>
      <c r="D2134" s="55">
        <v>280</v>
      </c>
      <c r="E2134" s="55" t="s">
        <v>3951</v>
      </c>
      <c r="F2134" s="55" t="s">
        <v>390</v>
      </c>
      <c r="G2134" s="55" t="s">
        <v>922</v>
      </c>
      <c r="H2134" s="50" t="s">
        <v>3952</v>
      </c>
    </row>
    <row r="2135" spans="1:9" x14ac:dyDescent="0.2">
      <c r="A2135" s="57">
        <v>422</v>
      </c>
      <c r="B2135" t="s">
        <v>836</v>
      </c>
      <c r="C2135" s="195">
        <v>44679</v>
      </c>
      <c r="D2135" s="55">
        <v>280</v>
      </c>
      <c r="E2135" s="55" t="s">
        <v>3953</v>
      </c>
      <c r="F2135" s="55" t="s">
        <v>192</v>
      </c>
      <c r="G2135" s="55" t="s">
        <v>453</v>
      </c>
      <c r="H2135" s="50" t="s">
        <v>224</v>
      </c>
      <c r="I2135" s="46" t="s">
        <v>837</v>
      </c>
    </row>
    <row r="2136" spans="1:9" x14ac:dyDescent="0.2">
      <c r="C2136" s="195">
        <v>44670</v>
      </c>
      <c r="D2136" s="55">
        <v>280</v>
      </c>
      <c r="E2136" s="55" t="s">
        <v>3954</v>
      </c>
      <c r="F2136" s="55" t="s">
        <v>196</v>
      </c>
      <c r="G2136" s="55" t="s">
        <v>645</v>
      </c>
      <c r="H2136" s="50" t="s">
        <v>3955</v>
      </c>
    </row>
    <row r="2137" spans="1:9" x14ac:dyDescent="0.2">
      <c r="C2137" s="195">
        <v>44652</v>
      </c>
      <c r="D2137" s="55">
        <v>280</v>
      </c>
      <c r="E2137" s="55" t="s">
        <v>3956</v>
      </c>
      <c r="F2137" s="55" t="s">
        <v>267</v>
      </c>
      <c r="G2137" s="55" t="s">
        <v>331</v>
      </c>
      <c r="H2137" s="50" t="s">
        <v>3957</v>
      </c>
    </row>
    <row r="2138" spans="1:9" x14ac:dyDescent="0.2">
      <c r="C2138" s="195">
        <v>44658</v>
      </c>
      <c r="D2138" s="55">
        <v>260</v>
      </c>
      <c r="E2138" s="55" t="s">
        <v>3958</v>
      </c>
      <c r="F2138" s="55" t="s">
        <v>219</v>
      </c>
      <c r="G2138" s="55" t="s">
        <v>451</v>
      </c>
      <c r="H2138" s="50" t="s">
        <v>3959</v>
      </c>
    </row>
    <row r="2139" spans="1:9" x14ac:dyDescent="0.2">
      <c r="C2139" s="195">
        <v>44671</v>
      </c>
      <c r="D2139" s="55">
        <v>260</v>
      </c>
      <c r="E2139" s="55" t="s">
        <v>3960</v>
      </c>
      <c r="F2139" s="55" t="s">
        <v>192</v>
      </c>
      <c r="G2139" s="55" t="s">
        <v>401</v>
      </c>
      <c r="H2139" s="50" t="s">
        <v>224</v>
      </c>
    </row>
    <row r="2140" spans="1:9" x14ac:dyDescent="0.2">
      <c r="C2140" s="195">
        <v>44657</v>
      </c>
      <c r="D2140" s="55">
        <v>260</v>
      </c>
      <c r="E2140" s="55" t="s">
        <v>3961</v>
      </c>
      <c r="F2140" s="55" t="s">
        <v>192</v>
      </c>
      <c r="G2140" s="55" t="s">
        <v>258</v>
      </c>
      <c r="H2140" s="50" t="s">
        <v>3827</v>
      </c>
    </row>
    <row r="2141" spans="1:9" x14ac:dyDescent="0.2">
      <c r="C2141" s="195">
        <v>44658</v>
      </c>
      <c r="D2141" s="55">
        <v>260</v>
      </c>
      <c r="E2141" s="55" t="s">
        <v>3962</v>
      </c>
      <c r="F2141" s="55" t="s">
        <v>210</v>
      </c>
      <c r="G2141" s="55" t="s">
        <v>508</v>
      </c>
      <c r="H2141" s="50" t="s">
        <v>3963</v>
      </c>
    </row>
    <row r="2142" spans="1:9" x14ac:dyDescent="0.2">
      <c r="C2142" s="195">
        <v>44656</v>
      </c>
      <c r="D2142" s="55">
        <v>260</v>
      </c>
      <c r="E2142" s="55" t="s">
        <v>3964</v>
      </c>
      <c r="F2142" s="55" t="s">
        <v>231</v>
      </c>
      <c r="G2142" s="55" t="s">
        <v>3965</v>
      </c>
      <c r="H2142" s="50" t="s">
        <v>3966</v>
      </c>
    </row>
    <row r="2143" spans="1:9" x14ac:dyDescent="0.2">
      <c r="C2143" s="195">
        <v>44663</v>
      </c>
      <c r="D2143" s="55">
        <v>280</v>
      </c>
      <c r="E2143" s="55" t="s">
        <v>3967</v>
      </c>
      <c r="F2143" s="55" t="s">
        <v>202</v>
      </c>
      <c r="G2143" s="55" t="s">
        <v>203</v>
      </c>
      <c r="H2143" s="50" t="s">
        <v>3968</v>
      </c>
    </row>
    <row r="2144" spans="1:9" x14ac:dyDescent="0.2">
      <c r="C2144" s="195">
        <v>44666</v>
      </c>
      <c r="D2144" s="55">
        <v>280</v>
      </c>
      <c r="E2144" s="55" t="s">
        <v>3969</v>
      </c>
      <c r="F2144" s="55" t="s">
        <v>263</v>
      </c>
      <c r="G2144" s="55" t="s">
        <v>3747</v>
      </c>
      <c r="H2144" s="50" t="s">
        <v>224</v>
      </c>
    </row>
    <row r="2145" spans="1:62" x14ac:dyDescent="0.2">
      <c r="C2145" s="195">
        <v>44656</v>
      </c>
      <c r="D2145" s="55">
        <v>260</v>
      </c>
      <c r="E2145" s="55" t="s">
        <v>3970</v>
      </c>
      <c r="F2145" s="55" t="s">
        <v>231</v>
      </c>
      <c r="G2145" s="55" t="s">
        <v>782</v>
      </c>
      <c r="H2145" s="50" t="s">
        <v>3971</v>
      </c>
    </row>
    <row r="2146" spans="1:62" x14ac:dyDescent="0.2">
      <c r="C2146" s="195">
        <v>44657</v>
      </c>
      <c r="D2146" s="55">
        <v>260</v>
      </c>
      <c r="E2146" s="55" t="s">
        <v>3972</v>
      </c>
      <c r="F2146" s="55" t="s">
        <v>267</v>
      </c>
      <c r="G2146" s="55" t="s">
        <v>331</v>
      </c>
      <c r="H2146" s="50" t="s">
        <v>3973</v>
      </c>
    </row>
    <row r="2147" spans="1:62" x14ac:dyDescent="0.2">
      <c r="C2147" s="195">
        <v>44652</v>
      </c>
      <c r="D2147" s="55">
        <v>260</v>
      </c>
      <c r="E2147" s="55" t="s">
        <v>3974</v>
      </c>
      <c r="F2147" s="55" t="s">
        <v>390</v>
      </c>
      <c r="G2147" s="55" t="s">
        <v>922</v>
      </c>
      <c r="H2147" s="50" t="s">
        <v>3975</v>
      </c>
    </row>
    <row r="2148" spans="1:62" x14ac:dyDescent="0.2">
      <c r="C2148" s="195">
        <v>44658</v>
      </c>
      <c r="D2148" s="55">
        <v>260</v>
      </c>
      <c r="E2148" s="55" t="s">
        <v>3976</v>
      </c>
      <c r="F2148" s="55" t="s">
        <v>210</v>
      </c>
      <c r="G2148" s="55" t="s">
        <v>508</v>
      </c>
      <c r="H2148" s="50" t="s">
        <v>3977</v>
      </c>
    </row>
    <row r="2149" spans="1:62" x14ac:dyDescent="0.2">
      <c r="A2149" s="57">
        <v>422</v>
      </c>
      <c r="B2149" s="162" t="s">
        <v>836</v>
      </c>
      <c r="C2149" s="195">
        <v>44664</v>
      </c>
      <c r="D2149" s="55">
        <v>260</v>
      </c>
      <c r="E2149" s="55" t="s">
        <v>3978</v>
      </c>
      <c r="F2149" s="55" t="s">
        <v>192</v>
      </c>
      <c r="G2149" s="55" t="s">
        <v>487</v>
      </c>
      <c r="H2149" s="50" t="s">
        <v>224</v>
      </c>
      <c r="I2149" s="46" t="s">
        <v>839</v>
      </c>
      <c r="J2149" s="52">
        <v>2</v>
      </c>
      <c r="K2149" s="52">
        <v>2</v>
      </c>
      <c r="O2149" s="1">
        <v>2</v>
      </c>
      <c r="S2149" s="1">
        <v>1</v>
      </c>
      <c r="W2149" s="1">
        <v>1</v>
      </c>
      <c r="AA2149" s="1">
        <v>1</v>
      </c>
      <c r="AG2149">
        <v>2</v>
      </c>
      <c r="AM2149">
        <v>4</v>
      </c>
      <c r="AS2149">
        <v>4</v>
      </c>
      <c r="AT2149">
        <v>1</v>
      </c>
      <c r="AU2149">
        <v>1</v>
      </c>
      <c r="AZ2149">
        <v>1</v>
      </c>
      <c r="BA2149">
        <v>1</v>
      </c>
      <c r="BB2149">
        <v>1</v>
      </c>
      <c r="BC2149">
        <v>1</v>
      </c>
      <c r="BD2149">
        <v>1</v>
      </c>
      <c r="BE2149">
        <v>2</v>
      </c>
      <c r="BJ2149">
        <v>1</v>
      </c>
    </row>
    <row r="2150" spans="1:62" x14ac:dyDescent="0.2">
      <c r="C2150" s="195">
        <v>44672</v>
      </c>
      <c r="D2150" s="55">
        <v>260</v>
      </c>
      <c r="E2150" s="55" t="s">
        <v>3979</v>
      </c>
      <c r="F2150" s="55" t="s">
        <v>231</v>
      </c>
      <c r="G2150" s="55" t="s">
        <v>1241</v>
      </c>
      <c r="H2150" s="50" t="s">
        <v>3980</v>
      </c>
    </row>
    <row r="2151" spans="1:62" x14ac:dyDescent="0.2">
      <c r="C2151" s="195">
        <v>44676</v>
      </c>
      <c r="D2151" s="55">
        <v>280</v>
      </c>
      <c r="E2151" s="55" t="s">
        <v>3981</v>
      </c>
      <c r="F2151" s="55" t="s">
        <v>219</v>
      </c>
      <c r="G2151" s="55" t="s">
        <v>451</v>
      </c>
      <c r="H2151" s="50" t="s">
        <v>3982</v>
      </c>
    </row>
    <row r="2152" spans="1:62" x14ac:dyDescent="0.2">
      <c r="C2152" s="195">
        <v>44673</v>
      </c>
      <c r="D2152" s="55">
        <v>260</v>
      </c>
      <c r="E2152" s="55" t="s">
        <v>3983</v>
      </c>
      <c r="F2152" s="55" t="s">
        <v>210</v>
      </c>
      <c r="G2152" s="55" t="s">
        <v>1572</v>
      </c>
      <c r="H2152" s="50" t="s">
        <v>3984</v>
      </c>
    </row>
    <row r="2153" spans="1:62" x14ac:dyDescent="0.2">
      <c r="C2153" s="195">
        <v>44657</v>
      </c>
      <c r="D2153" s="55">
        <v>260</v>
      </c>
      <c r="E2153" s="55" t="s">
        <v>3985</v>
      </c>
      <c r="F2153" s="55" t="s">
        <v>196</v>
      </c>
      <c r="G2153" s="55" t="s">
        <v>498</v>
      </c>
      <c r="H2153" s="50" t="s">
        <v>3986</v>
      </c>
    </row>
    <row r="2154" spans="1:62" x14ac:dyDescent="0.2">
      <c r="C2154" s="195">
        <v>44658</v>
      </c>
      <c r="D2154" s="55">
        <v>260</v>
      </c>
      <c r="E2154" s="55" t="s">
        <v>3987</v>
      </c>
      <c r="F2154" s="55" t="s">
        <v>210</v>
      </c>
      <c r="G2154" s="55" t="s">
        <v>508</v>
      </c>
      <c r="H2154" s="50" t="s">
        <v>3988</v>
      </c>
    </row>
    <row r="2155" spans="1:62" x14ac:dyDescent="0.2">
      <c r="C2155" s="195">
        <v>44665</v>
      </c>
      <c r="D2155" s="55">
        <v>260</v>
      </c>
      <c r="E2155" s="55" t="s">
        <v>3989</v>
      </c>
      <c r="F2155" s="55" t="s">
        <v>263</v>
      </c>
      <c r="G2155" s="55" t="s">
        <v>806</v>
      </c>
      <c r="H2155" s="50" t="s">
        <v>3990</v>
      </c>
    </row>
    <row r="2156" spans="1:62" x14ac:dyDescent="0.2">
      <c r="C2156" s="195">
        <v>44670</v>
      </c>
      <c r="D2156" s="55">
        <v>260</v>
      </c>
      <c r="E2156" s="55" t="s">
        <v>3991</v>
      </c>
      <c r="F2156" s="55" t="s">
        <v>196</v>
      </c>
      <c r="G2156" s="55" t="s">
        <v>415</v>
      </c>
      <c r="H2156" s="50" t="s">
        <v>3992</v>
      </c>
    </row>
    <row r="2157" spans="1:62" x14ac:dyDescent="0.2">
      <c r="C2157" s="195">
        <v>44658</v>
      </c>
      <c r="D2157" s="55">
        <v>280</v>
      </c>
      <c r="E2157" s="55" t="s">
        <v>3993</v>
      </c>
      <c r="F2157" s="55" t="s">
        <v>196</v>
      </c>
      <c r="G2157" s="55" t="s">
        <v>352</v>
      </c>
      <c r="H2157" s="50" t="s">
        <v>3994</v>
      </c>
    </row>
    <row r="2158" spans="1:62" x14ac:dyDescent="0.2">
      <c r="C2158" s="195">
        <v>44677</v>
      </c>
      <c r="D2158" s="55">
        <v>280</v>
      </c>
      <c r="E2158" s="55" t="s">
        <v>3995</v>
      </c>
      <c r="F2158" s="55" t="s">
        <v>210</v>
      </c>
      <c r="G2158" s="55" t="s">
        <v>418</v>
      </c>
      <c r="H2158" s="50" t="s">
        <v>3996</v>
      </c>
    </row>
    <row r="2159" spans="1:62" x14ac:dyDescent="0.2">
      <c r="A2159" s="57">
        <v>422</v>
      </c>
      <c r="B2159" t="s">
        <v>836</v>
      </c>
      <c r="C2159" s="195">
        <v>44656</v>
      </c>
      <c r="D2159" s="55">
        <v>280</v>
      </c>
      <c r="E2159" s="55" t="s">
        <v>3997</v>
      </c>
      <c r="F2159" s="55" t="s">
        <v>263</v>
      </c>
      <c r="G2159" s="55" t="s">
        <v>1005</v>
      </c>
      <c r="H2159" s="50" t="s">
        <v>224</v>
      </c>
      <c r="I2159" s="46" t="s">
        <v>837</v>
      </c>
    </row>
    <row r="2160" spans="1:62" x14ac:dyDescent="0.2">
      <c r="C2160" s="195">
        <v>44658</v>
      </c>
      <c r="D2160" s="55">
        <v>260</v>
      </c>
      <c r="E2160" s="55" t="s">
        <v>3998</v>
      </c>
      <c r="F2160" s="55" t="s">
        <v>219</v>
      </c>
      <c r="G2160" s="55" t="s">
        <v>249</v>
      </c>
      <c r="H2160" s="50" t="s">
        <v>3999</v>
      </c>
    </row>
    <row r="2161" spans="1:9" x14ac:dyDescent="0.2">
      <c r="C2161" s="195">
        <v>44680</v>
      </c>
      <c r="D2161" s="55">
        <v>260</v>
      </c>
      <c r="E2161" s="55" t="s">
        <v>4000</v>
      </c>
      <c r="F2161" s="55" t="s">
        <v>196</v>
      </c>
      <c r="G2161" s="55" t="s">
        <v>352</v>
      </c>
      <c r="H2161" s="50" t="s">
        <v>4001</v>
      </c>
    </row>
    <row r="2162" spans="1:9" x14ac:dyDescent="0.2">
      <c r="A2162" s="57">
        <v>422</v>
      </c>
      <c r="B2162" t="s">
        <v>836</v>
      </c>
      <c r="C2162" s="195">
        <v>44662</v>
      </c>
      <c r="D2162" s="55">
        <v>280</v>
      </c>
      <c r="E2162" s="55" t="s">
        <v>4002</v>
      </c>
      <c r="F2162" s="55" t="s">
        <v>206</v>
      </c>
      <c r="G2162" s="55" t="s">
        <v>676</v>
      </c>
      <c r="H2162" s="50" t="s">
        <v>224</v>
      </c>
      <c r="I2162" s="46" t="s">
        <v>837</v>
      </c>
    </row>
    <row r="2163" spans="1:9" x14ac:dyDescent="0.2">
      <c r="C2163" s="195">
        <v>44657</v>
      </c>
      <c r="D2163" s="55">
        <v>260</v>
      </c>
      <c r="E2163" s="55" t="s">
        <v>4003</v>
      </c>
      <c r="F2163" s="55" t="s">
        <v>231</v>
      </c>
      <c r="G2163" s="55" t="s">
        <v>3096</v>
      </c>
      <c r="H2163" s="50" t="s">
        <v>4004</v>
      </c>
    </row>
    <row r="2164" spans="1:9" x14ac:dyDescent="0.2">
      <c r="C2164" s="195">
        <v>44672</v>
      </c>
      <c r="D2164" s="55">
        <v>280</v>
      </c>
      <c r="E2164" s="55" t="s">
        <v>4005</v>
      </c>
      <c r="F2164" s="55" t="s">
        <v>206</v>
      </c>
      <c r="G2164" s="55" t="s">
        <v>568</v>
      </c>
      <c r="H2164" s="50" t="s">
        <v>4006</v>
      </c>
    </row>
    <row r="2165" spans="1:9" x14ac:dyDescent="0.2">
      <c r="C2165" s="195">
        <v>44655</v>
      </c>
      <c r="D2165" s="55">
        <v>280</v>
      </c>
      <c r="E2165" s="55" t="s">
        <v>4007</v>
      </c>
      <c r="F2165" s="55" t="s">
        <v>390</v>
      </c>
      <c r="G2165" s="55" t="s">
        <v>671</v>
      </c>
      <c r="H2165" s="50" t="s">
        <v>4008</v>
      </c>
    </row>
    <row r="2166" spans="1:9" x14ac:dyDescent="0.2">
      <c r="C2166" s="195">
        <v>44658</v>
      </c>
      <c r="D2166" s="55">
        <v>260</v>
      </c>
      <c r="E2166" s="55" t="s">
        <v>4009</v>
      </c>
      <c r="F2166" s="55" t="s">
        <v>202</v>
      </c>
      <c r="G2166" s="55" t="s">
        <v>1146</v>
      </c>
      <c r="H2166" s="50" t="s">
        <v>4010</v>
      </c>
    </row>
    <row r="2167" spans="1:9" x14ac:dyDescent="0.2">
      <c r="C2167" s="195">
        <v>44659</v>
      </c>
      <c r="D2167" s="55">
        <v>280</v>
      </c>
      <c r="E2167" s="55" t="s">
        <v>4011</v>
      </c>
      <c r="F2167" s="55" t="s">
        <v>231</v>
      </c>
      <c r="G2167" s="55" t="s">
        <v>4012</v>
      </c>
      <c r="H2167" s="50" t="s">
        <v>4013</v>
      </c>
    </row>
    <row r="2168" spans="1:9" x14ac:dyDescent="0.2">
      <c r="C2168" s="195">
        <v>44658</v>
      </c>
      <c r="D2168" s="55">
        <v>280</v>
      </c>
      <c r="E2168" s="55" t="s">
        <v>4014</v>
      </c>
      <c r="F2168" s="55" t="s">
        <v>390</v>
      </c>
      <c r="G2168" s="55" t="s">
        <v>779</v>
      </c>
      <c r="H2168" s="50" t="s">
        <v>4015</v>
      </c>
    </row>
    <row r="2169" spans="1:9" x14ac:dyDescent="0.2">
      <c r="C2169" s="195">
        <v>44666</v>
      </c>
      <c r="D2169" s="55">
        <v>280</v>
      </c>
      <c r="E2169" s="55" t="s">
        <v>4016</v>
      </c>
      <c r="F2169" s="55" t="s">
        <v>231</v>
      </c>
      <c r="G2169" s="55" t="s">
        <v>371</v>
      </c>
      <c r="H2169" s="50" t="s">
        <v>4017</v>
      </c>
    </row>
    <row r="2170" spans="1:9" x14ac:dyDescent="0.2">
      <c r="C2170" s="195">
        <v>44665</v>
      </c>
      <c r="D2170" s="55">
        <v>280</v>
      </c>
      <c r="E2170" s="55" t="s">
        <v>4018</v>
      </c>
      <c r="F2170" s="55" t="s">
        <v>263</v>
      </c>
      <c r="G2170" s="55" t="s">
        <v>579</v>
      </c>
      <c r="H2170" s="50" t="s">
        <v>224</v>
      </c>
    </row>
    <row r="2171" spans="1:9" x14ac:dyDescent="0.2">
      <c r="C2171" s="195">
        <v>44658</v>
      </c>
      <c r="D2171" s="55">
        <v>280</v>
      </c>
      <c r="E2171" s="55" t="s">
        <v>4019</v>
      </c>
      <c r="F2171" s="55" t="s">
        <v>231</v>
      </c>
      <c r="G2171" s="55" t="s">
        <v>232</v>
      </c>
      <c r="H2171" s="50" t="s">
        <v>4020</v>
      </c>
    </row>
    <row r="2172" spans="1:9" x14ac:dyDescent="0.2">
      <c r="C2172" s="195">
        <v>44662</v>
      </c>
      <c r="D2172" s="55">
        <v>280</v>
      </c>
      <c r="E2172" s="55" t="s">
        <v>4021</v>
      </c>
      <c r="F2172" s="55" t="s">
        <v>263</v>
      </c>
      <c r="G2172" s="55" t="s">
        <v>506</v>
      </c>
      <c r="H2172" s="50" t="s">
        <v>224</v>
      </c>
    </row>
    <row r="2173" spans="1:9" x14ac:dyDescent="0.2">
      <c r="C2173" s="195">
        <v>44676</v>
      </c>
      <c r="D2173" s="55">
        <v>260</v>
      </c>
      <c r="E2173" s="55" t="s">
        <v>4022</v>
      </c>
      <c r="F2173" s="55" t="s">
        <v>231</v>
      </c>
      <c r="G2173" s="55" t="s">
        <v>435</v>
      </c>
      <c r="H2173" s="50" t="s">
        <v>224</v>
      </c>
    </row>
    <row r="2174" spans="1:9" x14ac:dyDescent="0.2">
      <c r="C2174" s="195">
        <v>44679</v>
      </c>
      <c r="D2174" s="55">
        <v>260</v>
      </c>
      <c r="E2174" s="55" t="s">
        <v>4023</v>
      </c>
      <c r="F2174" s="55" t="s">
        <v>210</v>
      </c>
      <c r="G2174" s="55" t="s">
        <v>508</v>
      </c>
      <c r="H2174" s="50" t="s">
        <v>4024</v>
      </c>
    </row>
    <row r="2175" spans="1:9" x14ac:dyDescent="0.2">
      <c r="C2175" s="195">
        <v>44680</v>
      </c>
      <c r="D2175" s="55">
        <v>260</v>
      </c>
      <c r="E2175" s="55" t="s">
        <v>4025</v>
      </c>
      <c r="F2175" s="55" t="s">
        <v>210</v>
      </c>
      <c r="G2175" s="55" t="s">
        <v>508</v>
      </c>
      <c r="H2175" s="50" t="s">
        <v>4026</v>
      </c>
    </row>
    <row r="2176" spans="1:9" x14ac:dyDescent="0.2">
      <c r="C2176" s="195">
        <v>44670</v>
      </c>
      <c r="D2176" s="55">
        <v>280</v>
      </c>
      <c r="E2176" s="55" t="s">
        <v>4027</v>
      </c>
      <c r="F2176" s="55" t="s">
        <v>196</v>
      </c>
      <c r="G2176" s="55" t="s">
        <v>361</v>
      </c>
      <c r="H2176" s="50" t="s">
        <v>4028</v>
      </c>
    </row>
    <row r="2177" spans="1:9" x14ac:dyDescent="0.2">
      <c r="A2177" s="57">
        <v>422</v>
      </c>
      <c r="B2177" t="s">
        <v>836</v>
      </c>
      <c r="C2177" s="195">
        <v>44657</v>
      </c>
      <c r="D2177" s="55">
        <v>280</v>
      </c>
      <c r="E2177" s="55" t="s">
        <v>4029</v>
      </c>
      <c r="F2177" s="55" t="s">
        <v>263</v>
      </c>
      <c r="G2177" s="55" t="s">
        <v>426</v>
      </c>
      <c r="H2177" s="50" t="s">
        <v>224</v>
      </c>
      <c r="I2177" s="46" t="s">
        <v>837</v>
      </c>
    </row>
    <row r="2178" spans="1:9" x14ac:dyDescent="0.2">
      <c r="C2178" s="195">
        <v>44656</v>
      </c>
      <c r="D2178" s="55">
        <v>260</v>
      </c>
      <c r="E2178" s="55" t="s">
        <v>4030</v>
      </c>
      <c r="F2178" s="55" t="s">
        <v>231</v>
      </c>
      <c r="G2178" s="55" t="s">
        <v>3965</v>
      </c>
      <c r="H2178" s="50" t="s">
        <v>4031</v>
      </c>
    </row>
    <row r="2179" spans="1:9" x14ac:dyDescent="0.2">
      <c r="C2179" s="195">
        <v>44656</v>
      </c>
      <c r="D2179" s="55">
        <v>280</v>
      </c>
      <c r="E2179" s="55" t="s">
        <v>4032</v>
      </c>
      <c r="F2179" s="55" t="s">
        <v>263</v>
      </c>
      <c r="G2179" s="55" t="s">
        <v>579</v>
      </c>
      <c r="H2179" s="50" t="s">
        <v>4033</v>
      </c>
    </row>
    <row r="2180" spans="1:9" x14ac:dyDescent="0.2">
      <c r="C2180" s="195">
        <v>44671</v>
      </c>
      <c r="D2180" s="55">
        <v>280</v>
      </c>
      <c r="E2180" s="55" t="s">
        <v>4034</v>
      </c>
      <c r="F2180" s="55" t="s">
        <v>192</v>
      </c>
      <c r="G2180" s="55" t="s">
        <v>640</v>
      </c>
      <c r="H2180" s="50" t="s">
        <v>4035</v>
      </c>
    </row>
    <row r="2181" spans="1:9" x14ac:dyDescent="0.2">
      <c r="C2181" s="195">
        <v>44658</v>
      </c>
      <c r="D2181" s="55">
        <v>260</v>
      </c>
      <c r="E2181" s="55" t="s">
        <v>4036</v>
      </c>
      <c r="F2181" s="55" t="s">
        <v>390</v>
      </c>
      <c r="G2181" s="55" t="s">
        <v>779</v>
      </c>
      <c r="H2181" s="50" t="s">
        <v>4037</v>
      </c>
    </row>
    <row r="2182" spans="1:9" x14ac:dyDescent="0.2">
      <c r="C2182" s="195">
        <v>44680</v>
      </c>
      <c r="D2182" s="55">
        <v>260</v>
      </c>
      <c r="E2182" s="55" t="s">
        <v>4038</v>
      </c>
      <c r="F2182" s="55" t="s">
        <v>231</v>
      </c>
      <c r="G2182" s="55" t="s">
        <v>421</v>
      </c>
      <c r="H2182" s="50" t="s">
        <v>4039</v>
      </c>
    </row>
    <row r="2183" spans="1:9" x14ac:dyDescent="0.2">
      <c r="C2183" s="195">
        <v>44659</v>
      </c>
      <c r="D2183" s="55">
        <v>260</v>
      </c>
      <c r="E2183" s="55" t="s">
        <v>4040</v>
      </c>
      <c r="F2183" s="55" t="s">
        <v>219</v>
      </c>
      <c r="G2183" s="55" t="s">
        <v>249</v>
      </c>
      <c r="H2183" s="50" t="s">
        <v>4041</v>
      </c>
    </row>
    <row r="2184" spans="1:9" x14ac:dyDescent="0.2">
      <c r="C2184" s="195">
        <v>44656</v>
      </c>
      <c r="D2184" s="55">
        <v>260</v>
      </c>
      <c r="E2184" s="55" t="s">
        <v>4042</v>
      </c>
      <c r="F2184" s="55" t="s">
        <v>192</v>
      </c>
      <c r="G2184" s="55" t="s">
        <v>324</v>
      </c>
      <c r="H2184" s="50" t="s">
        <v>4043</v>
      </c>
    </row>
    <row r="2185" spans="1:9" x14ac:dyDescent="0.2">
      <c r="C2185" s="195">
        <v>44672</v>
      </c>
      <c r="D2185" s="55">
        <v>280</v>
      </c>
      <c r="E2185" s="55" t="s">
        <v>4044</v>
      </c>
      <c r="F2185" s="55" t="s">
        <v>192</v>
      </c>
      <c r="G2185" s="55" t="s">
        <v>258</v>
      </c>
      <c r="H2185" s="50" t="s">
        <v>4045</v>
      </c>
    </row>
    <row r="2186" spans="1:9" x14ac:dyDescent="0.2">
      <c r="C2186" s="195">
        <v>44666</v>
      </c>
      <c r="D2186" s="55">
        <v>260</v>
      </c>
      <c r="E2186" s="55" t="s">
        <v>4046</v>
      </c>
      <c r="F2186" s="55" t="s">
        <v>196</v>
      </c>
      <c r="G2186" s="55" t="s">
        <v>352</v>
      </c>
      <c r="H2186" s="50" t="s">
        <v>4047</v>
      </c>
    </row>
    <row r="2187" spans="1:9" x14ac:dyDescent="0.2">
      <c r="C2187" s="195">
        <v>44663</v>
      </c>
      <c r="D2187" s="55">
        <v>260</v>
      </c>
      <c r="E2187" s="55" t="s">
        <v>4048</v>
      </c>
      <c r="F2187" s="55" t="s">
        <v>390</v>
      </c>
      <c r="G2187" s="55" t="s">
        <v>408</v>
      </c>
      <c r="H2187" s="50" t="s">
        <v>4049</v>
      </c>
    </row>
    <row r="2188" spans="1:9" x14ac:dyDescent="0.2">
      <c r="C2188" s="195">
        <v>44652</v>
      </c>
      <c r="D2188" s="55">
        <v>280</v>
      </c>
      <c r="E2188" s="55" t="s">
        <v>4050</v>
      </c>
      <c r="F2188" s="55" t="s">
        <v>196</v>
      </c>
      <c r="G2188" s="55" t="s">
        <v>645</v>
      </c>
      <c r="H2188" s="50" t="s">
        <v>4051</v>
      </c>
    </row>
    <row r="2189" spans="1:9" x14ac:dyDescent="0.2">
      <c r="C2189" s="195">
        <v>44652</v>
      </c>
      <c r="D2189" s="55">
        <v>280</v>
      </c>
      <c r="E2189" s="55" t="s">
        <v>4052</v>
      </c>
      <c r="F2189" s="55" t="s">
        <v>244</v>
      </c>
      <c r="G2189" s="55" t="s">
        <v>315</v>
      </c>
      <c r="H2189" s="50" t="s">
        <v>4053</v>
      </c>
    </row>
    <row r="2190" spans="1:9" x14ac:dyDescent="0.2">
      <c r="C2190" s="195">
        <v>44677</v>
      </c>
      <c r="D2190" s="55">
        <v>280</v>
      </c>
      <c r="E2190" s="55" t="s">
        <v>4054</v>
      </c>
      <c r="F2190" s="55" t="s">
        <v>219</v>
      </c>
      <c r="G2190" s="55" t="s">
        <v>451</v>
      </c>
      <c r="H2190" s="50" t="s">
        <v>224</v>
      </c>
    </row>
    <row r="2191" spans="1:9" x14ac:dyDescent="0.2">
      <c r="C2191" s="195">
        <v>44680</v>
      </c>
      <c r="D2191" s="55">
        <v>280</v>
      </c>
      <c r="E2191" s="55" t="s">
        <v>4055</v>
      </c>
      <c r="F2191" s="55" t="s">
        <v>390</v>
      </c>
      <c r="G2191" s="55" t="s">
        <v>590</v>
      </c>
      <c r="H2191" s="50" t="s">
        <v>4056</v>
      </c>
    </row>
    <row r="2192" spans="1:9" x14ac:dyDescent="0.2">
      <c r="C2192" s="195">
        <v>44659</v>
      </c>
      <c r="D2192" s="55">
        <v>280</v>
      </c>
      <c r="E2192" s="55" t="s">
        <v>4057</v>
      </c>
      <c r="F2192" s="55" t="s">
        <v>231</v>
      </c>
      <c r="G2192" s="55" t="s">
        <v>255</v>
      </c>
      <c r="H2192" s="50" t="s">
        <v>4058</v>
      </c>
    </row>
    <row r="2193" spans="1:9" x14ac:dyDescent="0.2">
      <c r="C2193" s="195">
        <v>44669</v>
      </c>
      <c r="D2193" s="55">
        <v>280</v>
      </c>
      <c r="E2193" s="55" t="s">
        <v>4059</v>
      </c>
      <c r="F2193" s="55" t="s">
        <v>202</v>
      </c>
      <c r="G2193" s="55" t="s">
        <v>302</v>
      </c>
      <c r="H2193" s="50" t="s">
        <v>4060</v>
      </c>
    </row>
    <row r="2194" spans="1:9" x14ac:dyDescent="0.2">
      <c r="C2194" s="195">
        <v>44676</v>
      </c>
      <c r="D2194" s="55">
        <v>280</v>
      </c>
      <c r="E2194" s="55" t="s">
        <v>4061</v>
      </c>
      <c r="F2194" s="55" t="s">
        <v>390</v>
      </c>
      <c r="G2194" s="55" t="s">
        <v>391</v>
      </c>
      <c r="H2194" s="50" t="s">
        <v>4062</v>
      </c>
    </row>
    <row r="2195" spans="1:9" x14ac:dyDescent="0.2">
      <c r="C2195" s="195">
        <v>44656</v>
      </c>
      <c r="D2195" s="55">
        <v>260</v>
      </c>
      <c r="E2195" s="55" t="s">
        <v>4063</v>
      </c>
      <c r="F2195" s="55" t="s">
        <v>192</v>
      </c>
      <c r="G2195" s="55" t="s">
        <v>487</v>
      </c>
      <c r="H2195" s="50" t="s">
        <v>224</v>
      </c>
    </row>
    <row r="2196" spans="1:9" x14ac:dyDescent="0.2">
      <c r="A2196" s="57">
        <v>422</v>
      </c>
      <c r="B2196" t="s">
        <v>836</v>
      </c>
      <c r="C2196" s="195">
        <v>44677</v>
      </c>
      <c r="D2196" s="55">
        <v>280</v>
      </c>
      <c r="E2196" s="55" t="s">
        <v>4064</v>
      </c>
      <c r="F2196" s="55" t="s">
        <v>231</v>
      </c>
      <c r="G2196" s="55" t="s">
        <v>232</v>
      </c>
      <c r="H2196" s="50" t="s">
        <v>224</v>
      </c>
      <c r="I2196" s="46" t="s">
        <v>837</v>
      </c>
    </row>
    <row r="2197" spans="1:9" x14ac:dyDescent="0.2">
      <c r="C2197" s="195">
        <v>44677</v>
      </c>
      <c r="D2197" s="55">
        <v>280</v>
      </c>
      <c r="E2197" s="55" t="s">
        <v>4065</v>
      </c>
      <c r="F2197" s="55" t="s">
        <v>263</v>
      </c>
      <c r="G2197" s="55" t="s">
        <v>506</v>
      </c>
      <c r="H2197" s="50" t="s">
        <v>4066</v>
      </c>
    </row>
    <row r="2198" spans="1:9" x14ac:dyDescent="0.2">
      <c r="C2198" s="195">
        <v>44655</v>
      </c>
      <c r="D2198" s="55">
        <v>260</v>
      </c>
      <c r="E2198" s="55" t="s">
        <v>4067</v>
      </c>
      <c r="F2198" s="55" t="s">
        <v>202</v>
      </c>
      <c r="G2198" s="55" t="s">
        <v>341</v>
      </c>
      <c r="H2198" s="50" t="s">
        <v>4068</v>
      </c>
    </row>
    <row r="2199" spans="1:9" x14ac:dyDescent="0.2">
      <c r="C2199" s="195">
        <v>44669</v>
      </c>
      <c r="D2199" s="55">
        <v>260</v>
      </c>
      <c r="E2199" s="55" t="s">
        <v>4069</v>
      </c>
      <c r="F2199" s="55" t="s">
        <v>219</v>
      </c>
      <c r="G2199" s="55" t="s">
        <v>540</v>
      </c>
      <c r="H2199" s="50" t="s">
        <v>4070</v>
      </c>
    </row>
    <row r="2200" spans="1:9" x14ac:dyDescent="0.2">
      <c r="C2200" s="195">
        <v>44670</v>
      </c>
      <c r="D2200" s="55">
        <v>260</v>
      </c>
      <c r="E2200" s="55" t="s">
        <v>4071</v>
      </c>
      <c r="F2200" s="55" t="s">
        <v>196</v>
      </c>
      <c r="G2200" s="55" t="s">
        <v>352</v>
      </c>
      <c r="H2200" s="50" t="s">
        <v>4072</v>
      </c>
    </row>
    <row r="2201" spans="1:9" x14ac:dyDescent="0.2">
      <c r="C2201" s="195">
        <v>44669</v>
      </c>
      <c r="D2201" s="55">
        <v>280</v>
      </c>
      <c r="E2201" s="55" t="s">
        <v>4073</v>
      </c>
      <c r="F2201" s="55" t="s">
        <v>231</v>
      </c>
      <c r="G2201" s="55" t="s">
        <v>782</v>
      </c>
      <c r="H2201" s="50" t="s">
        <v>4074</v>
      </c>
    </row>
    <row r="2202" spans="1:9" x14ac:dyDescent="0.2">
      <c r="C2202" s="195">
        <v>44670</v>
      </c>
      <c r="D2202" s="55">
        <v>280</v>
      </c>
      <c r="E2202" s="55" t="s">
        <v>4075</v>
      </c>
      <c r="F2202" s="55" t="s">
        <v>390</v>
      </c>
      <c r="G2202" s="55" t="s">
        <v>408</v>
      </c>
      <c r="H2202" s="50" t="s">
        <v>4076</v>
      </c>
    </row>
    <row r="2203" spans="1:9" x14ac:dyDescent="0.2">
      <c r="C2203" s="195">
        <v>44663</v>
      </c>
      <c r="D2203" s="55">
        <v>260</v>
      </c>
      <c r="E2203" s="55" t="s">
        <v>4077</v>
      </c>
      <c r="F2203" s="55" t="s">
        <v>263</v>
      </c>
      <c r="G2203" s="55" t="s">
        <v>633</v>
      </c>
    </row>
    <row r="2204" spans="1:9" x14ac:dyDescent="0.2">
      <c r="C2204" s="195">
        <v>44671</v>
      </c>
      <c r="D2204" s="55">
        <v>260</v>
      </c>
      <c r="E2204" s="55" t="s">
        <v>4078</v>
      </c>
      <c r="F2204" s="55" t="s">
        <v>244</v>
      </c>
      <c r="G2204" s="55" t="s">
        <v>4079</v>
      </c>
      <c r="H2204" s="50" t="s">
        <v>4080</v>
      </c>
    </row>
    <row r="2205" spans="1:9" x14ac:dyDescent="0.2">
      <c r="C2205" s="195">
        <v>44676</v>
      </c>
      <c r="D2205" s="55">
        <v>280</v>
      </c>
      <c r="E2205" s="55" t="s">
        <v>4081</v>
      </c>
      <c r="F2205" s="55" t="s">
        <v>267</v>
      </c>
      <c r="G2205" s="55" t="s">
        <v>535</v>
      </c>
    </row>
    <row r="2206" spans="1:9" x14ac:dyDescent="0.2">
      <c r="C2206" s="195">
        <v>44677</v>
      </c>
      <c r="D2206" s="55">
        <v>260</v>
      </c>
      <c r="E2206" s="55" t="s">
        <v>4082</v>
      </c>
      <c r="F2206" s="55" t="s">
        <v>219</v>
      </c>
      <c r="G2206" s="55" t="s">
        <v>540</v>
      </c>
      <c r="H2206" s="50" t="s">
        <v>4083</v>
      </c>
    </row>
    <row r="2207" spans="1:9" x14ac:dyDescent="0.2">
      <c r="C2207" s="195">
        <v>44658</v>
      </c>
      <c r="D2207" s="55">
        <v>260</v>
      </c>
      <c r="E2207" s="55" t="s">
        <v>4084</v>
      </c>
      <c r="F2207" s="55" t="s">
        <v>263</v>
      </c>
      <c r="G2207" s="55" t="s">
        <v>806</v>
      </c>
      <c r="H2207" s="50" t="s">
        <v>4085</v>
      </c>
    </row>
    <row r="2208" spans="1:9" x14ac:dyDescent="0.2">
      <c r="A2208" s="57">
        <v>422</v>
      </c>
      <c r="B2208" t="s">
        <v>836</v>
      </c>
      <c r="C2208" s="195">
        <v>44676</v>
      </c>
      <c r="D2208" s="55">
        <v>280</v>
      </c>
      <c r="E2208" s="55" t="s">
        <v>4086</v>
      </c>
      <c r="F2208" s="55" t="s">
        <v>291</v>
      </c>
      <c r="G2208" s="55" t="s">
        <v>1247</v>
      </c>
      <c r="H2208" s="50" t="s">
        <v>224</v>
      </c>
      <c r="I2208" s="46" t="s">
        <v>837</v>
      </c>
    </row>
    <row r="2209" spans="1:9" x14ac:dyDescent="0.2">
      <c r="C2209" s="195">
        <v>44658</v>
      </c>
      <c r="D2209" s="55">
        <v>260</v>
      </c>
      <c r="E2209" s="55" t="s">
        <v>4087</v>
      </c>
      <c r="F2209" s="55" t="s">
        <v>192</v>
      </c>
      <c r="G2209" s="55" t="s">
        <v>401</v>
      </c>
      <c r="H2209" s="50" t="s">
        <v>4088</v>
      </c>
    </row>
    <row r="2210" spans="1:9" x14ac:dyDescent="0.2">
      <c r="C2210" s="195">
        <v>44669</v>
      </c>
      <c r="D2210" s="55">
        <v>260</v>
      </c>
      <c r="E2210" s="55" t="s">
        <v>4089</v>
      </c>
      <c r="F2210" s="55" t="s">
        <v>390</v>
      </c>
      <c r="G2210" s="55" t="s">
        <v>671</v>
      </c>
      <c r="H2210" s="50" t="s">
        <v>4090</v>
      </c>
    </row>
    <row r="2211" spans="1:9" x14ac:dyDescent="0.2">
      <c r="C2211" s="195">
        <v>44663</v>
      </c>
      <c r="D2211" s="55">
        <v>280</v>
      </c>
      <c r="E2211" s="55" t="s">
        <v>4091</v>
      </c>
      <c r="F2211" s="55" t="s">
        <v>291</v>
      </c>
      <c r="G2211" s="55" t="s">
        <v>1247</v>
      </c>
      <c r="H2211" s="50" t="s">
        <v>4092</v>
      </c>
    </row>
    <row r="2212" spans="1:9" x14ac:dyDescent="0.2">
      <c r="C2212" s="195">
        <v>44670</v>
      </c>
      <c r="D2212" s="55">
        <v>260</v>
      </c>
      <c r="E2212" s="55" t="s">
        <v>4093</v>
      </c>
      <c r="F2212" s="55" t="s">
        <v>202</v>
      </c>
      <c r="G2212" s="55" t="s">
        <v>203</v>
      </c>
      <c r="H2212" s="50" t="s">
        <v>4094</v>
      </c>
    </row>
    <row r="2213" spans="1:9" x14ac:dyDescent="0.2">
      <c r="C2213" s="195">
        <v>44671</v>
      </c>
      <c r="D2213" s="55">
        <v>280</v>
      </c>
      <c r="E2213" s="55" t="s">
        <v>4095</v>
      </c>
      <c r="F2213" s="55" t="s">
        <v>202</v>
      </c>
      <c r="G2213" s="55" t="s">
        <v>344</v>
      </c>
      <c r="H2213" s="50" t="s">
        <v>4096</v>
      </c>
    </row>
    <row r="2214" spans="1:9" x14ac:dyDescent="0.2">
      <c r="C2214" s="195">
        <v>44657</v>
      </c>
      <c r="D2214" s="55">
        <v>280</v>
      </c>
      <c r="E2214" s="55" t="s">
        <v>4097</v>
      </c>
      <c r="F2214" s="55" t="s">
        <v>267</v>
      </c>
      <c r="G2214" s="55" t="s">
        <v>4098</v>
      </c>
      <c r="H2214" s="50" t="s">
        <v>4099</v>
      </c>
    </row>
    <row r="2215" spans="1:9" x14ac:dyDescent="0.2">
      <c r="C2215" s="195">
        <v>44669</v>
      </c>
      <c r="D2215" s="55">
        <v>280</v>
      </c>
      <c r="E2215" s="55" t="s">
        <v>4100</v>
      </c>
      <c r="F2215" s="55" t="s">
        <v>219</v>
      </c>
      <c r="G2215" s="55" t="s">
        <v>249</v>
      </c>
      <c r="H2215" s="50" t="s">
        <v>4101</v>
      </c>
    </row>
    <row r="2216" spans="1:9" x14ac:dyDescent="0.2">
      <c r="C2216" s="195">
        <v>44663</v>
      </c>
      <c r="D2216" s="55">
        <v>280</v>
      </c>
      <c r="E2216" s="55" t="s">
        <v>4102</v>
      </c>
      <c r="F2216" s="55" t="s">
        <v>263</v>
      </c>
      <c r="G2216" s="55" t="s">
        <v>613</v>
      </c>
      <c r="H2216" s="50" t="s">
        <v>4103</v>
      </c>
    </row>
    <row r="2217" spans="1:9" x14ac:dyDescent="0.2">
      <c r="C2217" s="195">
        <v>44658</v>
      </c>
      <c r="D2217" s="55">
        <v>280</v>
      </c>
      <c r="E2217" s="55" t="s">
        <v>4104</v>
      </c>
      <c r="F2217" s="55" t="s">
        <v>231</v>
      </c>
      <c r="G2217" s="55" t="s">
        <v>255</v>
      </c>
      <c r="H2217" s="50" t="s">
        <v>4105</v>
      </c>
    </row>
    <row r="2218" spans="1:9" x14ac:dyDescent="0.2">
      <c r="A2218" s="57">
        <v>422</v>
      </c>
      <c r="B2218" t="s">
        <v>836</v>
      </c>
      <c r="C2218" s="195">
        <v>44669</v>
      </c>
      <c r="D2218" s="55">
        <v>260</v>
      </c>
      <c r="E2218" s="55" t="s">
        <v>4106</v>
      </c>
      <c r="F2218" s="55" t="s">
        <v>206</v>
      </c>
      <c r="G2218" s="55" t="s">
        <v>228</v>
      </c>
      <c r="H2218" s="50" t="s">
        <v>4107</v>
      </c>
      <c r="I2218" s="46" t="s">
        <v>837</v>
      </c>
    </row>
    <row r="2219" spans="1:9" x14ac:dyDescent="0.2">
      <c r="C2219" s="195">
        <v>44676</v>
      </c>
      <c r="D2219" s="55">
        <v>260</v>
      </c>
      <c r="E2219" s="55" t="s">
        <v>4108</v>
      </c>
      <c r="F2219" s="55" t="s">
        <v>390</v>
      </c>
      <c r="G2219" s="55" t="s">
        <v>2950</v>
      </c>
      <c r="H2219" s="50" t="s">
        <v>4109</v>
      </c>
    </row>
    <row r="2220" spans="1:9" x14ac:dyDescent="0.2">
      <c r="C2220" s="195">
        <v>44658</v>
      </c>
      <c r="D2220" s="55">
        <v>260</v>
      </c>
      <c r="E2220" s="55" t="s">
        <v>4110</v>
      </c>
      <c r="F2220" s="55" t="s">
        <v>390</v>
      </c>
      <c r="G2220" s="55" t="s">
        <v>922</v>
      </c>
      <c r="H2220" s="50" t="s">
        <v>4111</v>
      </c>
    </row>
    <row r="2221" spans="1:9" x14ac:dyDescent="0.2">
      <c r="C2221" s="195">
        <v>44656</v>
      </c>
      <c r="D2221" s="55">
        <v>280</v>
      </c>
      <c r="E2221" s="55" t="s">
        <v>4112</v>
      </c>
      <c r="F2221" s="55" t="s">
        <v>210</v>
      </c>
      <c r="G2221" s="55" t="s">
        <v>211</v>
      </c>
      <c r="H2221" s="50" t="s">
        <v>224</v>
      </c>
    </row>
    <row r="2222" spans="1:9" x14ac:dyDescent="0.2">
      <c r="C2222" s="195">
        <v>44680</v>
      </c>
      <c r="D2222" s="55">
        <v>260</v>
      </c>
      <c r="E2222" s="55" t="s">
        <v>4113</v>
      </c>
      <c r="F2222" s="55" t="s">
        <v>231</v>
      </c>
      <c r="G2222" s="55" t="s">
        <v>421</v>
      </c>
      <c r="H2222" s="50" t="s">
        <v>4114</v>
      </c>
    </row>
    <row r="2223" spans="1:9" x14ac:dyDescent="0.2">
      <c r="C2223" s="195">
        <v>44671</v>
      </c>
      <c r="D2223" s="55">
        <v>280</v>
      </c>
      <c r="E2223" s="55" t="s">
        <v>4115</v>
      </c>
      <c r="F2223" s="55" t="s">
        <v>263</v>
      </c>
      <c r="G2223" s="55" t="s">
        <v>579</v>
      </c>
      <c r="H2223" s="50" t="s">
        <v>4116</v>
      </c>
    </row>
    <row r="2224" spans="1:9" x14ac:dyDescent="0.2">
      <c r="C2224" s="195">
        <v>44680</v>
      </c>
      <c r="D2224" s="55">
        <v>260</v>
      </c>
      <c r="E2224" s="55" t="s">
        <v>4117</v>
      </c>
      <c r="F2224" s="55" t="s">
        <v>390</v>
      </c>
      <c r="G2224" s="55" t="s">
        <v>408</v>
      </c>
      <c r="H2224" s="50" t="s">
        <v>4118</v>
      </c>
    </row>
    <row r="2225" spans="3:8" x14ac:dyDescent="0.2">
      <c r="C2225" s="195">
        <v>44671</v>
      </c>
      <c r="D2225" s="55">
        <v>260</v>
      </c>
      <c r="E2225" s="55" t="s">
        <v>4119</v>
      </c>
      <c r="F2225" s="55" t="s">
        <v>231</v>
      </c>
      <c r="G2225" s="55" t="s">
        <v>3965</v>
      </c>
      <c r="H2225" s="50" t="s">
        <v>4120</v>
      </c>
    </row>
    <row r="2226" spans="3:8" x14ac:dyDescent="0.2">
      <c r="C2226" s="195">
        <v>44665</v>
      </c>
      <c r="D2226" s="55">
        <v>260</v>
      </c>
      <c r="E2226" s="55" t="s">
        <v>4121</v>
      </c>
      <c r="F2226" s="55" t="s">
        <v>272</v>
      </c>
      <c r="G2226" s="55" t="s">
        <v>273</v>
      </c>
      <c r="H2226" s="50" t="s">
        <v>4122</v>
      </c>
    </row>
    <row r="2227" spans="3:8" x14ac:dyDescent="0.2">
      <c r="C2227" s="195">
        <v>44658</v>
      </c>
      <c r="D2227" s="55">
        <v>260</v>
      </c>
      <c r="E2227" s="55" t="s">
        <v>4123</v>
      </c>
      <c r="F2227" s="55" t="s">
        <v>210</v>
      </c>
      <c r="G2227" s="55" t="s">
        <v>508</v>
      </c>
      <c r="H2227" s="50" t="s">
        <v>4124</v>
      </c>
    </row>
    <row r="2228" spans="3:8" x14ac:dyDescent="0.2">
      <c r="C2228" s="195">
        <v>44659</v>
      </c>
      <c r="D2228" s="55">
        <v>260</v>
      </c>
      <c r="E2228" s="55" t="s">
        <v>4125</v>
      </c>
      <c r="F2228" s="55" t="s">
        <v>244</v>
      </c>
      <c r="G2228" s="55" t="s">
        <v>393</v>
      </c>
      <c r="H2228" s="50" t="s">
        <v>4126</v>
      </c>
    </row>
    <row r="2229" spans="3:8" x14ac:dyDescent="0.2">
      <c r="C2229" s="195">
        <v>44659</v>
      </c>
      <c r="D2229" s="55">
        <v>280</v>
      </c>
      <c r="E2229" s="55" t="s">
        <v>4127</v>
      </c>
      <c r="F2229" s="55" t="s">
        <v>231</v>
      </c>
      <c r="G2229" s="55" t="s">
        <v>232</v>
      </c>
      <c r="H2229" s="50" t="s">
        <v>4128</v>
      </c>
    </row>
    <row r="2230" spans="3:8" x14ac:dyDescent="0.2">
      <c r="C2230" s="195">
        <v>44657</v>
      </c>
      <c r="D2230" s="55">
        <v>260</v>
      </c>
      <c r="E2230" s="55" t="s">
        <v>4129</v>
      </c>
      <c r="F2230" s="55" t="s">
        <v>192</v>
      </c>
      <c r="G2230" s="55" t="s">
        <v>324</v>
      </c>
      <c r="H2230" s="50" t="s">
        <v>4130</v>
      </c>
    </row>
    <row r="2231" spans="3:8" x14ac:dyDescent="0.2">
      <c r="C2231" s="195">
        <v>44663</v>
      </c>
      <c r="D2231" s="55">
        <v>260</v>
      </c>
      <c r="E2231" s="55" t="s">
        <v>4131</v>
      </c>
      <c r="F2231" s="55" t="s">
        <v>231</v>
      </c>
      <c r="G2231" s="55" t="s">
        <v>255</v>
      </c>
      <c r="H2231" s="50" t="s">
        <v>4132</v>
      </c>
    </row>
    <row r="2232" spans="3:8" x14ac:dyDescent="0.2">
      <c r="C2232" s="195">
        <v>44664</v>
      </c>
      <c r="D2232" s="55">
        <v>260</v>
      </c>
      <c r="E2232" s="55" t="s">
        <v>4133</v>
      </c>
      <c r="F2232" s="55" t="s">
        <v>202</v>
      </c>
      <c r="G2232" s="55" t="s">
        <v>344</v>
      </c>
      <c r="H2232" s="50" t="s">
        <v>224</v>
      </c>
    </row>
    <row r="2233" spans="3:8" x14ac:dyDescent="0.2">
      <c r="C2233" s="195">
        <v>44673</v>
      </c>
      <c r="D2233" s="55">
        <v>280</v>
      </c>
      <c r="E2233" s="55" t="s">
        <v>4134</v>
      </c>
      <c r="F2233" s="55" t="s">
        <v>291</v>
      </c>
      <c r="G2233" s="55" t="s">
        <v>607</v>
      </c>
      <c r="H2233" s="50" t="s">
        <v>224</v>
      </c>
    </row>
    <row r="2234" spans="3:8" x14ac:dyDescent="0.2">
      <c r="C2234" s="195">
        <v>44655</v>
      </c>
      <c r="D2234" s="55">
        <v>260</v>
      </c>
      <c r="E2234" s="55" t="s">
        <v>4135</v>
      </c>
      <c r="F2234" s="55" t="s">
        <v>202</v>
      </c>
      <c r="G2234" s="55" t="s">
        <v>302</v>
      </c>
      <c r="H2234" s="50" t="s">
        <v>4136</v>
      </c>
    </row>
    <row r="2235" spans="3:8" x14ac:dyDescent="0.2">
      <c r="C2235" s="195">
        <v>44655</v>
      </c>
      <c r="D2235" s="55">
        <v>260</v>
      </c>
      <c r="E2235" s="55" t="s">
        <v>4137</v>
      </c>
      <c r="F2235" s="55" t="s">
        <v>202</v>
      </c>
      <c r="G2235" s="55" t="s">
        <v>297</v>
      </c>
    </row>
    <row r="2236" spans="3:8" x14ac:dyDescent="0.2">
      <c r="C2236" s="195">
        <v>44658</v>
      </c>
      <c r="D2236" s="55">
        <v>260</v>
      </c>
      <c r="E2236" s="55" t="s">
        <v>4138</v>
      </c>
      <c r="F2236" s="55" t="s">
        <v>196</v>
      </c>
      <c r="G2236" s="55" t="s">
        <v>3889</v>
      </c>
      <c r="H2236" s="50" t="s">
        <v>4139</v>
      </c>
    </row>
    <row r="2237" spans="3:8" x14ac:dyDescent="0.2">
      <c r="C2237" s="195">
        <v>44658</v>
      </c>
      <c r="D2237" s="55">
        <v>280</v>
      </c>
      <c r="E2237" s="55" t="s">
        <v>4140</v>
      </c>
      <c r="F2237" s="55" t="s">
        <v>291</v>
      </c>
      <c r="G2237" s="55" t="s">
        <v>607</v>
      </c>
      <c r="H2237" s="50" t="s">
        <v>4141</v>
      </c>
    </row>
    <row r="2238" spans="3:8" x14ac:dyDescent="0.2">
      <c r="C2238" s="195">
        <v>44673</v>
      </c>
      <c r="D2238" s="55">
        <v>260</v>
      </c>
      <c r="E2238" s="55" t="s">
        <v>4142</v>
      </c>
      <c r="F2238" s="55" t="s">
        <v>219</v>
      </c>
      <c r="G2238" s="55" t="s">
        <v>223</v>
      </c>
      <c r="H2238" s="50" t="s">
        <v>4143</v>
      </c>
    </row>
    <row r="2239" spans="3:8" x14ac:dyDescent="0.2">
      <c r="C2239" s="195">
        <v>44671</v>
      </c>
      <c r="D2239" s="55">
        <v>280</v>
      </c>
      <c r="E2239" s="55" t="s">
        <v>4144</v>
      </c>
      <c r="F2239" s="55" t="s">
        <v>244</v>
      </c>
      <c r="G2239" s="55" t="s">
        <v>294</v>
      </c>
      <c r="H2239" s="50" t="s">
        <v>4145</v>
      </c>
    </row>
    <row r="2240" spans="3:8" x14ac:dyDescent="0.2">
      <c r="C2240" s="195">
        <v>44656</v>
      </c>
      <c r="D2240" s="55">
        <v>260</v>
      </c>
      <c r="E2240" s="55" t="s">
        <v>4146</v>
      </c>
      <c r="F2240" s="55" t="s">
        <v>231</v>
      </c>
      <c r="G2240" s="55" t="s">
        <v>3965</v>
      </c>
      <c r="H2240" s="50" t="s">
        <v>4147</v>
      </c>
    </row>
    <row r="2241" spans="3:8" x14ac:dyDescent="0.2">
      <c r="C2241" s="195">
        <v>44669</v>
      </c>
      <c r="D2241" s="55">
        <v>260</v>
      </c>
      <c r="E2241" s="55" t="s">
        <v>4148</v>
      </c>
      <c r="F2241" s="55" t="s">
        <v>390</v>
      </c>
      <c r="G2241" s="55" t="s">
        <v>779</v>
      </c>
      <c r="H2241" s="50" t="s">
        <v>4149</v>
      </c>
    </row>
    <row r="2242" spans="3:8" x14ac:dyDescent="0.2">
      <c r="C2242" s="195">
        <v>44664</v>
      </c>
      <c r="D2242" s="55">
        <v>260</v>
      </c>
      <c r="E2242" s="55" t="s">
        <v>4150</v>
      </c>
      <c r="F2242" s="55" t="s">
        <v>196</v>
      </c>
      <c r="G2242" s="55" t="s">
        <v>352</v>
      </c>
      <c r="H2242" s="50" t="s">
        <v>4151</v>
      </c>
    </row>
    <row r="2243" spans="3:8" x14ac:dyDescent="0.2">
      <c r="C2243" s="195">
        <v>44669</v>
      </c>
      <c r="D2243" s="55">
        <v>260</v>
      </c>
      <c r="E2243" s="55" t="s">
        <v>4152</v>
      </c>
      <c r="F2243" s="55" t="s">
        <v>206</v>
      </c>
      <c r="G2243" s="55" t="s">
        <v>228</v>
      </c>
      <c r="H2243" s="50" t="s">
        <v>4153</v>
      </c>
    </row>
    <row r="2244" spans="3:8" x14ac:dyDescent="0.2">
      <c r="C2244" s="195">
        <v>44657</v>
      </c>
      <c r="D2244" s="55">
        <v>280</v>
      </c>
      <c r="E2244" s="55" t="s">
        <v>4154</v>
      </c>
      <c r="F2244" s="55" t="s">
        <v>206</v>
      </c>
      <c r="G2244" s="55" t="s">
        <v>214</v>
      </c>
    </row>
    <row r="2245" spans="3:8" x14ac:dyDescent="0.2">
      <c r="C2245" s="195">
        <v>44679</v>
      </c>
      <c r="D2245" s="55">
        <v>260</v>
      </c>
      <c r="E2245" s="55" t="s">
        <v>4155</v>
      </c>
      <c r="F2245" s="55" t="s">
        <v>231</v>
      </c>
      <c r="G2245" s="55" t="s">
        <v>421</v>
      </c>
      <c r="H2245" s="50" t="s">
        <v>4156</v>
      </c>
    </row>
    <row r="2246" spans="3:8" x14ac:dyDescent="0.2">
      <c r="C2246" s="195">
        <v>44657</v>
      </c>
      <c r="D2246" s="55">
        <v>260</v>
      </c>
      <c r="E2246" s="55" t="s">
        <v>4157</v>
      </c>
      <c r="F2246" s="55" t="s">
        <v>196</v>
      </c>
      <c r="G2246" s="55" t="s">
        <v>352</v>
      </c>
      <c r="H2246" s="50" t="s">
        <v>4158</v>
      </c>
    </row>
    <row r="2247" spans="3:8" x14ac:dyDescent="0.2">
      <c r="C2247" s="195">
        <v>44673</v>
      </c>
      <c r="D2247" s="55">
        <v>260</v>
      </c>
      <c r="E2247" s="55" t="s">
        <v>4159</v>
      </c>
      <c r="F2247" s="55" t="s">
        <v>210</v>
      </c>
      <c r="G2247" s="55" t="s">
        <v>883</v>
      </c>
      <c r="H2247" s="50" t="s">
        <v>4160</v>
      </c>
    </row>
    <row r="2248" spans="3:8" x14ac:dyDescent="0.2">
      <c r="C2248" s="195">
        <v>44652</v>
      </c>
      <c r="D2248" s="55">
        <v>260</v>
      </c>
      <c r="E2248" s="55" t="s">
        <v>4161</v>
      </c>
      <c r="F2248" s="55" t="s">
        <v>219</v>
      </c>
      <c r="G2248" s="55" t="s">
        <v>220</v>
      </c>
      <c r="H2248" s="50" t="s">
        <v>4162</v>
      </c>
    </row>
    <row r="2249" spans="3:8" x14ac:dyDescent="0.2">
      <c r="C2249" s="195">
        <v>44659</v>
      </c>
      <c r="D2249" s="55">
        <v>260</v>
      </c>
      <c r="E2249" s="55" t="s">
        <v>4163</v>
      </c>
      <c r="F2249" s="55" t="s">
        <v>231</v>
      </c>
      <c r="G2249" s="55" t="s">
        <v>3965</v>
      </c>
      <c r="H2249" s="50" t="s">
        <v>4164</v>
      </c>
    </row>
    <row r="2250" spans="3:8" x14ac:dyDescent="0.2">
      <c r="C2250" s="195">
        <v>44665</v>
      </c>
      <c r="D2250" s="55">
        <v>260</v>
      </c>
      <c r="E2250" s="55" t="s">
        <v>4165</v>
      </c>
      <c r="F2250" s="55" t="s">
        <v>202</v>
      </c>
      <c r="G2250" s="55" t="s">
        <v>344</v>
      </c>
      <c r="H2250" s="50" t="s">
        <v>224</v>
      </c>
    </row>
    <row r="2251" spans="3:8" x14ac:dyDescent="0.2">
      <c r="C2251" s="195">
        <v>44663</v>
      </c>
      <c r="D2251" s="55">
        <v>280</v>
      </c>
      <c r="E2251" s="55" t="s">
        <v>4166</v>
      </c>
      <c r="F2251" s="55" t="s">
        <v>196</v>
      </c>
      <c r="G2251" s="55" t="s">
        <v>415</v>
      </c>
      <c r="H2251" s="50" t="s">
        <v>4167</v>
      </c>
    </row>
    <row r="2252" spans="3:8" x14ac:dyDescent="0.2">
      <c r="C2252" s="195">
        <v>44678</v>
      </c>
      <c r="D2252" s="55">
        <v>260</v>
      </c>
      <c r="E2252" s="55" t="s">
        <v>4168</v>
      </c>
      <c r="F2252" s="55" t="s">
        <v>390</v>
      </c>
      <c r="G2252" s="55" t="s">
        <v>490</v>
      </c>
      <c r="H2252" s="50" t="s">
        <v>4169</v>
      </c>
    </row>
    <row r="2253" spans="3:8" x14ac:dyDescent="0.2">
      <c r="C2253" s="195">
        <v>44679</v>
      </c>
      <c r="D2253" s="55">
        <v>260</v>
      </c>
      <c r="E2253" s="55" t="s">
        <v>4170</v>
      </c>
      <c r="F2253" s="55" t="s">
        <v>192</v>
      </c>
      <c r="G2253" s="55" t="s">
        <v>640</v>
      </c>
      <c r="H2253" s="50" t="s">
        <v>4171</v>
      </c>
    </row>
    <row r="2254" spans="3:8" x14ac:dyDescent="0.2">
      <c r="C2254" s="195">
        <v>44679</v>
      </c>
      <c r="D2254" s="55">
        <v>280</v>
      </c>
      <c r="E2254" s="55" t="s">
        <v>4172</v>
      </c>
      <c r="F2254" s="55" t="s">
        <v>210</v>
      </c>
      <c r="G2254" s="55" t="s">
        <v>306</v>
      </c>
      <c r="H2254" s="50" t="s">
        <v>4173</v>
      </c>
    </row>
    <row r="2255" spans="3:8" x14ac:dyDescent="0.2">
      <c r="C2255" s="195">
        <v>44677</v>
      </c>
      <c r="D2255" s="55">
        <v>280</v>
      </c>
      <c r="E2255" s="55" t="s">
        <v>4174</v>
      </c>
      <c r="F2255" s="55" t="s">
        <v>291</v>
      </c>
      <c r="G2255" s="55" t="s">
        <v>480</v>
      </c>
      <c r="H2255" s="50" t="s">
        <v>4175</v>
      </c>
    </row>
    <row r="2256" spans="3:8" x14ac:dyDescent="0.2">
      <c r="C2256" s="195">
        <v>44679</v>
      </c>
      <c r="D2256" s="55">
        <v>260</v>
      </c>
      <c r="E2256" s="55" t="s">
        <v>4176</v>
      </c>
      <c r="F2256" s="55" t="s">
        <v>196</v>
      </c>
      <c r="G2256" s="55" t="s">
        <v>361</v>
      </c>
      <c r="H2256" s="50" t="s">
        <v>4177</v>
      </c>
    </row>
    <row r="2257" spans="1:62" x14ac:dyDescent="0.2">
      <c r="C2257" s="195">
        <v>44672</v>
      </c>
      <c r="D2257" s="55">
        <v>260</v>
      </c>
      <c r="E2257" s="55" t="s">
        <v>4178</v>
      </c>
      <c r="F2257" s="55" t="s">
        <v>206</v>
      </c>
      <c r="G2257" s="55" t="s">
        <v>548</v>
      </c>
      <c r="H2257" s="50" t="s">
        <v>4179</v>
      </c>
    </row>
    <row r="2258" spans="1:62" x14ac:dyDescent="0.2">
      <c r="C2258" s="195">
        <v>44655</v>
      </c>
      <c r="D2258" s="55">
        <v>280</v>
      </c>
      <c r="E2258" s="55" t="s">
        <v>4180</v>
      </c>
      <c r="F2258" s="55" t="s">
        <v>263</v>
      </c>
      <c r="G2258" s="55" t="s">
        <v>613</v>
      </c>
      <c r="H2258" s="50" t="s">
        <v>4181</v>
      </c>
    </row>
    <row r="2259" spans="1:62" x14ac:dyDescent="0.2">
      <c r="C2259" s="195">
        <v>44680</v>
      </c>
      <c r="D2259" s="55">
        <v>280</v>
      </c>
      <c r="E2259" s="55" t="s">
        <v>4182</v>
      </c>
      <c r="F2259" s="55" t="s">
        <v>196</v>
      </c>
      <c r="G2259" s="55" t="s">
        <v>352</v>
      </c>
      <c r="H2259" s="50" t="s">
        <v>4183</v>
      </c>
    </row>
    <row r="2260" spans="1:62" x14ac:dyDescent="0.2">
      <c r="C2260" s="195">
        <v>44671</v>
      </c>
      <c r="D2260" s="55">
        <v>260</v>
      </c>
      <c r="E2260" s="55" t="s">
        <v>4184</v>
      </c>
      <c r="F2260" s="55" t="s">
        <v>219</v>
      </c>
      <c r="G2260" s="55" t="s">
        <v>3710</v>
      </c>
      <c r="H2260" s="50" t="s">
        <v>4185</v>
      </c>
    </row>
    <row r="2261" spans="1:62" x14ac:dyDescent="0.2">
      <c r="C2261" s="195">
        <v>44669</v>
      </c>
      <c r="D2261" s="55">
        <v>280</v>
      </c>
      <c r="E2261" s="55" t="s">
        <v>4186</v>
      </c>
      <c r="F2261" s="55" t="s">
        <v>231</v>
      </c>
      <c r="G2261" s="55" t="s">
        <v>3965</v>
      </c>
      <c r="H2261" s="50" t="s">
        <v>4187</v>
      </c>
    </row>
    <row r="2262" spans="1:62" x14ac:dyDescent="0.2">
      <c r="C2262" s="195">
        <v>44664</v>
      </c>
      <c r="D2262" s="55">
        <v>260</v>
      </c>
      <c r="E2262" s="55" t="s">
        <v>4188</v>
      </c>
      <c r="F2262" s="55" t="s">
        <v>267</v>
      </c>
      <c r="G2262" s="55" t="s">
        <v>268</v>
      </c>
      <c r="H2262" s="50" t="s">
        <v>224</v>
      </c>
    </row>
    <row r="2263" spans="1:62" x14ac:dyDescent="0.2">
      <c r="C2263" s="195">
        <v>44673</v>
      </c>
      <c r="D2263" s="55">
        <v>280</v>
      </c>
      <c r="E2263" s="55" t="s">
        <v>4189</v>
      </c>
      <c r="F2263" s="55" t="s">
        <v>390</v>
      </c>
      <c r="G2263" s="55" t="s">
        <v>922</v>
      </c>
      <c r="H2263" s="50" t="s">
        <v>4190</v>
      </c>
    </row>
    <row r="2264" spans="1:62" x14ac:dyDescent="0.2">
      <c r="C2264" s="195">
        <v>44666</v>
      </c>
      <c r="D2264" s="55">
        <v>260</v>
      </c>
      <c r="E2264" s="55" t="s">
        <v>4191</v>
      </c>
      <c r="F2264" s="55" t="s">
        <v>196</v>
      </c>
      <c r="G2264" s="55" t="s">
        <v>352</v>
      </c>
      <c r="H2264" s="50" t="s">
        <v>4192</v>
      </c>
    </row>
    <row r="2265" spans="1:62" x14ac:dyDescent="0.2">
      <c r="A2265" s="57">
        <v>422</v>
      </c>
      <c r="B2265" s="162" t="s">
        <v>836</v>
      </c>
      <c r="C2265" s="195">
        <v>44673</v>
      </c>
      <c r="D2265" s="55">
        <v>260</v>
      </c>
      <c r="E2265" s="55" t="s">
        <v>4193</v>
      </c>
      <c r="F2265" s="55" t="s">
        <v>219</v>
      </c>
      <c r="G2265" s="55" t="s">
        <v>223</v>
      </c>
      <c r="H2265" s="50" t="s">
        <v>4194</v>
      </c>
      <c r="I2265" s="46" t="s">
        <v>839</v>
      </c>
      <c r="J2265" s="52">
        <v>1</v>
      </c>
      <c r="K2265" s="52">
        <v>1</v>
      </c>
      <c r="O2265" s="1">
        <v>1</v>
      </c>
      <c r="S2265" s="1">
        <v>1</v>
      </c>
      <c r="W2265" s="1">
        <v>1</v>
      </c>
      <c r="AA2265" s="1">
        <v>1</v>
      </c>
      <c r="AG2265">
        <v>1</v>
      </c>
      <c r="AM2265">
        <v>5</v>
      </c>
      <c r="AS2265">
        <v>5</v>
      </c>
      <c r="AT2265">
        <v>5</v>
      </c>
      <c r="AU2265">
        <v>1</v>
      </c>
      <c r="AZ2265">
        <v>1</v>
      </c>
      <c r="BA2265">
        <v>1</v>
      </c>
      <c r="BB2265">
        <v>1</v>
      </c>
      <c r="BC2265">
        <v>1</v>
      </c>
      <c r="BD2265">
        <v>1</v>
      </c>
      <c r="BE2265">
        <v>1</v>
      </c>
      <c r="BJ2265">
        <v>1</v>
      </c>
    </row>
    <row r="2266" spans="1:62" x14ac:dyDescent="0.2">
      <c r="C2266" s="195">
        <v>44678</v>
      </c>
      <c r="D2266" s="55">
        <v>280</v>
      </c>
      <c r="E2266" s="55" t="s">
        <v>4195</v>
      </c>
      <c r="F2266" s="55" t="s">
        <v>263</v>
      </c>
      <c r="G2266" s="55" t="s">
        <v>3265</v>
      </c>
      <c r="H2266" s="50" t="s">
        <v>4196</v>
      </c>
    </row>
    <row r="2267" spans="1:62" x14ac:dyDescent="0.2">
      <c r="A2267" s="57">
        <v>422</v>
      </c>
      <c r="B2267" t="s">
        <v>836</v>
      </c>
      <c r="C2267" s="195">
        <v>44679</v>
      </c>
      <c r="D2267" s="55">
        <v>280</v>
      </c>
      <c r="E2267" s="55" t="s">
        <v>4197</v>
      </c>
      <c r="F2267" s="55" t="s">
        <v>263</v>
      </c>
      <c r="G2267" s="55" t="s">
        <v>413</v>
      </c>
      <c r="H2267" s="50" t="s">
        <v>224</v>
      </c>
      <c r="I2267" s="46" t="s">
        <v>839</v>
      </c>
      <c r="J2267" s="52">
        <v>1</v>
      </c>
      <c r="K2267" s="52">
        <v>1</v>
      </c>
      <c r="O2267" s="1">
        <v>1</v>
      </c>
      <c r="S2267" s="1">
        <v>1</v>
      </c>
      <c r="W2267" s="1">
        <v>5</v>
      </c>
      <c r="AA2267" s="1">
        <v>1</v>
      </c>
      <c r="AG2267">
        <v>1</v>
      </c>
      <c r="AM2267">
        <v>1</v>
      </c>
      <c r="AN2267">
        <v>4</v>
      </c>
      <c r="AO2267">
        <v>4</v>
      </c>
      <c r="AP2267">
        <v>4</v>
      </c>
      <c r="AQ2267">
        <v>4</v>
      </c>
      <c r="AR2267">
        <v>4</v>
      </c>
      <c r="AS2267">
        <v>1</v>
      </c>
      <c r="AT2267">
        <v>1</v>
      </c>
      <c r="AU2267">
        <v>1</v>
      </c>
      <c r="AZ2267">
        <v>1</v>
      </c>
      <c r="BA2267">
        <v>1</v>
      </c>
      <c r="BB2267">
        <v>1</v>
      </c>
      <c r="BC2267">
        <v>1</v>
      </c>
      <c r="BD2267">
        <v>1</v>
      </c>
      <c r="BE2267">
        <v>1</v>
      </c>
      <c r="BJ2267">
        <v>1</v>
      </c>
    </row>
    <row r="2268" spans="1:62" x14ac:dyDescent="0.2">
      <c r="C2268" s="195">
        <v>44670</v>
      </c>
      <c r="D2268" s="55">
        <v>280</v>
      </c>
      <c r="E2268" s="55" t="s">
        <v>4198</v>
      </c>
      <c r="F2268" s="55" t="s">
        <v>263</v>
      </c>
      <c r="G2268" s="55" t="s">
        <v>579</v>
      </c>
      <c r="H2268" s="50" t="s">
        <v>224</v>
      </c>
    </row>
    <row r="2269" spans="1:62" x14ac:dyDescent="0.2">
      <c r="C2269" s="195">
        <v>44663</v>
      </c>
      <c r="D2269" s="55">
        <v>280</v>
      </c>
      <c r="E2269" s="55" t="s">
        <v>1615</v>
      </c>
      <c r="F2269" s="55" t="s">
        <v>231</v>
      </c>
      <c r="G2269" s="55" t="s">
        <v>421</v>
      </c>
      <c r="H2269" s="50" t="s">
        <v>1616</v>
      </c>
    </row>
    <row r="2270" spans="1:62" x14ac:dyDescent="0.2">
      <c r="C2270" s="195">
        <v>44676</v>
      </c>
      <c r="D2270" s="55">
        <v>260</v>
      </c>
      <c r="E2270" s="55" t="s">
        <v>4199</v>
      </c>
      <c r="F2270" s="55" t="s">
        <v>196</v>
      </c>
      <c r="G2270" s="55" t="s">
        <v>498</v>
      </c>
      <c r="H2270" s="50" t="s">
        <v>4200</v>
      </c>
    </row>
    <row r="2271" spans="1:62" x14ac:dyDescent="0.2">
      <c r="C2271" s="195">
        <v>44680</v>
      </c>
      <c r="D2271" s="55">
        <v>260</v>
      </c>
      <c r="E2271" s="55" t="s">
        <v>4201</v>
      </c>
      <c r="F2271" s="55" t="s">
        <v>390</v>
      </c>
      <c r="G2271" s="55" t="s">
        <v>671</v>
      </c>
      <c r="H2271" s="50" t="s">
        <v>4202</v>
      </c>
    </row>
    <row r="2272" spans="1:62" x14ac:dyDescent="0.2">
      <c r="C2272" s="195">
        <v>44659</v>
      </c>
      <c r="D2272" s="55">
        <v>260</v>
      </c>
      <c r="E2272" s="55" t="s">
        <v>4203</v>
      </c>
      <c r="F2272" s="55" t="s">
        <v>202</v>
      </c>
      <c r="G2272" s="55" t="s">
        <v>1146</v>
      </c>
      <c r="H2272" s="50" t="s">
        <v>4204</v>
      </c>
    </row>
    <row r="2273" spans="1:9" x14ac:dyDescent="0.2">
      <c r="A2273" s="57">
        <v>422</v>
      </c>
      <c r="B2273" t="s">
        <v>836</v>
      </c>
      <c r="C2273" s="195">
        <v>44677</v>
      </c>
      <c r="D2273" s="55">
        <v>280</v>
      </c>
      <c r="E2273" s="55" t="s">
        <v>4205</v>
      </c>
      <c r="F2273" s="55" t="s">
        <v>196</v>
      </c>
      <c r="G2273" s="55" t="s">
        <v>349</v>
      </c>
      <c r="I2273" s="46" t="s">
        <v>837</v>
      </c>
    </row>
    <row r="2274" spans="1:9" x14ac:dyDescent="0.2">
      <c r="C2274" s="195">
        <v>44655</v>
      </c>
      <c r="D2274" s="55">
        <v>260</v>
      </c>
      <c r="E2274" s="55" t="s">
        <v>4206</v>
      </c>
      <c r="F2274" s="55" t="s">
        <v>291</v>
      </c>
      <c r="G2274" s="55" t="s">
        <v>2723</v>
      </c>
      <c r="H2274" s="50" t="s">
        <v>4207</v>
      </c>
    </row>
    <row r="2275" spans="1:9" x14ac:dyDescent="0.2">
      <c r="C2275" s="195">
        <v>44658</v>
      </c>
      <c r="D2275" s="55">
        <v>280</v>
      </c>
      <c r="E2275" s="55" t="s">
        <v>4208</v>
      </c>
      <c r="F2275" s="55" t="s">
        <v>210</v>
      </c>
      <c r="G2275" s="55" t="s">
        <v>306</v>
      </c>
      <c r="H2275" s="50" t="s">
        <v>4209</v>
      </c>
    </row>
    <row r="2276" spans="1:9" x14ac:dyDescent="0.2">
      <c r="C2276" s="195">
        <v>44680</v>
      </c>
      <c r="D2276" s="55">
        <v>280</v>
      </c>
      <c r="E2276" s="55" t="s">
        <v>4210</v>
      </c>
      <c r="F2276" s="55" t="s">
        <v>272</v>
      </c>
      <c r="G2276" s="55" t="s">
        <v>1914</v>
      </c>
      <c r="H2276" s="50" t="s">
        <v>224</v>
      </c>
    </row>
    <row r="2277" spans="1:9" x14ac:dyDescent="0.2">
      <c r="C2277" s="195">
        <v>44669</v>
      </c>
      <c r="D2277" s="55">
        <v>280</v>
      </c>
      <c r="E2277" s="55" t="s">
        <v>4211</v>
      </c>
      <c r="F2277" s="55" t="s">
        <v>231</v>
      </c>
      <c r="G2277" s="55" t="s">
        <v>371</v>
      </c>
      <c r="H2277" s="50" t="s">
        <v>4212</v>
      </c>
    </row>
    <row r="2278" spans="1:9" x14ac:dyDescent="0.2">
      <c r="C2278" s="195">
        <v>44672</v>
      </c>
      <c r="D2278" s="55">
        <v>280</v>
      </c>
      <c r="E2278" s="55" t="s">
        <v>4213</v>
      </c>
      <c r="F2278" s="55" t="s">
        <v>244</v>
      </c>
      <c r="G2278" s="55" t="s">
        <v>378</v>
      </c>
      <c r="H2278" s="50" t="s">
        <v>4214</v>
      </c>
    </row>
    <row r="2279" spans="1:9" x14ac:dyDescent="0.2">
      <c r="C2279" s="195">
        <v>44663</v>
      </c>
      <c r="D2279" s="55">
        <v>280</v>
      </c>
      <c r="E2279" s="55" t="s">
        <v>4215</v>
      </c>
      <c r="F2279" s="55" t="s">
        <v>210</v>
      </c>
      <c r="G2279" s="55" t="s">
        <v>2684</v>
      </c>
      <c r="H2279" s="50" t="s">
        <v>4216</v>
      </c>
    </row>
    <row r="2280" spans="1:9" x14ac:dyDescent="0.2">
      <c r="C2280" s="195">
        <v>44671</v>
      </c>
      <c r="D2280" s="55">
        <v>260</v>
      </c>
      <c r="E2280" s="55" t="s">
        <v>4217</v>
      </c>
      <c r="F2280" s="55" t="s">
        <v>196</v>
      </c>
      <c r="G2280" s="55" t="s">
        <v>498</v>
      </c>
      <c r="H2280" s="50" t="s">
        <v>4218</v>
      </c>
    </row>
    <row r="2281" spans="1:9" x14ac:dyDescent="0.2">
      <c r="C2281" s="195">
        <v>44680</v>
      </c>
      <c r="D2281" s="55">
        <v>280</v>
      </c>
      <c r="E2281" s="55" t="s">
        <v>4219</v>
      </c>
      <c r="F2281" s="55" t="s">
        <v>231</v>
      </c>
      <c r="G2281" s="55" t="s">
        <v>255</v>
      </c>
      <c r="H2281" s="50" t="s">
        <v>4220</v>
      </c>
    </row>
    <row r="2282" spans="1:9" x14ac:dyDescent="0.2">
      <c r="C2282" s="195">
        <v>44676</v>
      </c>
      <c r="D2282" s="55">
        <v>280</v>
      </c>
      <c r="E2282" s="55" t="s">
        <v>4221</v>
      </c>
      <c r="F2282" s="55" t="s">
        <v>263</v>
      </c>
      <c r="G2282" s="55" t="s">
        <v>579</v>
      </c>
      <c r="H2282" s="50" t="s">
        <v>4222</v>
      </c>
    </row>
    <row r="2283" spans="1:9" x14ac:dyDescent="0.2">
      <c r="C2283" s="195">
        <v>44659</v>
      </c>
      <c r="D2283" s="55">
        <v>260</v>
      </c>
      <c r="E2283" s="55" t="s">
        <v>4223</v>
      </c>
      <c r="F2283" s="55" t="s">
        <v>206</v>
      </c>
      <c r="G2283" s="55" t="s">
        <v>758</v>
      </c>
      <c r="H2283" s="50" t="s">
        <v>4224</v>
      </c>
    </row>
    <row r="2284" spans="1:9" x14ac:dyDescent="0.2">
      <c r="C2284" s="195">
        <v>44663</v>
      </c>
      <c r="D2284" s="55">
        <v>280</v>
      </c>
      <c r="E2284" s="55" t="s">
        <v>4225</v>
      </c>
      <c r="F2284" s="55" t="s">
        <v>206</v>
      </c>
      <c r="G2284" s="55" t="s">
        <v>3192</v>
      </c>
      <c r="H2284" s="50" t="s">
        <v>4226</v>
      </c>
    </row>
    <row r="2285" spans="1:9" x14ac:dyDescent="0.2">
      <c r="C2285" s="195">
        <v>44657</v>
      </c>
      <c r="D2285" s="55">
        <v>260</v>
      </c>
      <c r="E2285" s="55" t="s">
        <v>4227</v>
      </c>
      <c r="F2285" s="55" t="s">
        <v>192</v>
      </c>
      <c r="G2285" s="55" t="s">
        <v>258</v>
      </c>
      <c r="H2285" s="50" t="s">
        <v>4228</v>
      </c>
    </row>
    <row r="2286" spans="1:9" x14ac:dyDescent="0.2">
      <c r="C2286" s="195">
        <v>44657</v>
      </c>
      <c r="D2286" s="55">
        <v>280</v>
      </c>
      <c r="E2286" s="55" t="s">
        <v>4229</v>
      </c>
      <c r="F2286" s="55" t="s">
        <v>231</v>
      </c>
      <c r="G2286" s="55" t="s">
        <v>3096</v>
      </c>
      <c r="H2286" s="50" t="s">
        <v>4230</v>
      </c>
    </row>
    <row r="2287" spans="1:9" x14ac:dyDescent="0.2">
      <c r="C2287" s="195">
        <v>44663</v>
      </c>
      <c r="D2287" s="55">
        <v>280</v>
      </c>
      <c r="E2287" s="55" t="s">
        <v>4231</v>
      </c>
      <c r="F2287" s="55" t="s">
        <v>267</v>
      </c>
      <c r="G2287" s="55" t="s">
        <v>331</v>
      </c>
      <c r="H2287" s="50" t="s">
        <v>4232</v>
      </c>
    </row>
    <row r="2288" spans="1:9" x14ac:dyDescent="0.2">
      <c r="C2288" s="195">
        <v>44657</v>
      </c>
      <c r="D2288" s="55">
        <v>260</v>
      </c>
      <c r="E2288" s="55" t="s">
        <v>4233</v>
      </c>
      <c r="F2288" s="55" t="s">
        <v>231</v>
      </c>
      <c r="G2288" s="55" t="s">
        <v>232</v>
      </c>
      <c r="H2288" s="50" t="s">
        <v>4234</v>
      </c>
    </row>
    <row r="2289" spans="3:8" x14ac:dyDescent="0.2">
      <c r="C2289" s="195">
        <v>44662</v>
      </c>
      <c r="D2289" s="55">
        <v>260</v>
      </c>
      <c r="E2289" s="55" t="s">
        <v>4235</v>
      </c>
      <c r="F2289" s="55" t="s">
        <v>206</v>
      </c>
      <c r="G2289" s="55" t="s">
        <v>207</v>
      </c>
      <c r="H2289" s="50" t="s">
        <v>4236</v>
      </c>
    </row>
    <row r="2290" spans="3:8" x14ac:dyDescent="0.2">
      <c r="C2290" s="195">
        <v>44666</v>
      </c>
      <c r="D2290" s="55">
        <v>280</v>
      </c>
      <c r="E2290" s="55" t="s">
        <v>4237</v>
      </c>
      <c r="F2290" s="55" t="s">
        <v>210</v>
      </c>
      <c r="G2290" s="55" t="s">
        <v>1572</v>
      </c>
      <c r="H2290" s="50" t="s">
        <v>4238</v>
      </c>
    </row>
    <row r="2291" spans="3:8" x14ac:dyDescent="0.2">
      <c r="C2291" s="195">
        <v>44666</v>
      </c>
      <c r="D2291" s="55">
        <v>260</v>
      </c>
      <c r="E2291" s="55" t="s">
        <v>4239</v>
      </c>
      <c r="F2291" s="55" t="s">
        <v>192</v>
      </c>
      <c r="G2291" s="55" t="s">
        <v>258</v>
      </c>
      <c r="H2291" s="50" t="s">
        <v>4240</v>
      </c>
    </row>
    <row r="2292" spans="3:8" x14ac:dyDescent="0.2">
      <c r="C2292" s="195">
        <v>44677</v>
      </c>
      <c r="D2292" s="55">
        <v>280</v>
      </c>
      <c r="E2292" s="55" t="s">
        <v>4241</v>
      </c>
      <c r="F2292" s="55" t="s">
        <v>192</v>
      </c>
      <c r="G2292" s="55" t="s">
        <v>640</v>
      </c>
      <c r="H2292" s="50" t="s">
        <v>4242</v>
      </c>
    </row>
    <row r="2293" spans="3:8" x14ac:dyDescent="0.2">
      <c r="C2293" s="195">
        <v>44677</v>
      </c>
      <c r="D2293" s="55">
        <v>260</v>
      </c>
      <c r="E2293" s="55" t="s">
        <v>4243</v>
      </c>
      <c r="F2293" s="55" t="s">
        <v>219</v>
      </c>
      <c r="G2293" s="55" t="s">
        <v>220</v>
      </c>
      <c r="H2293" s="50" t="s">
        <v>4244</v>
      </c>
    </row>
    <row r="2294" spans="3:8" x14ac:dyDescent="0.2">
      <c r="C2294" s="195">
        <v>44673</v>
      </c>
      <c r="D2294" s="55">
        <v>280</v>
      </c>
      <c r="E2294" s="55" t="s">
        <v>4245</v>
      </c>
      <c r="F2294" s="55" t="s">
        <v>210</v>
      </c>
      <c r="G2294" s="55" t="s">
        <v>1572</v>
      </c>
      <c r="H2294" s="50" t="s">
        <v>4246</v>
      </c>
    </row>
    <row r="2295" spans="3:8" x14ac:dyDescent="0.2">
      <c r="C2295" s="195">
        <v>44693</v>
      </c>
      <c r="D2295" s="55">
        <v>280</v>
      </c>
      <c r="E2295" s="55" t="s">
        <v>4247</v>
      </c>
      <c r="F2295" s="55" t="s">
        <v>390</v>
      </c>
      <c r="G2295" s="55" t="s">
        <v>1446</v>
      </c>
      <c r="H2295" s="50" t="s">
        <v>4248</v>
      </c>
    </row>
    <row r="2296" spans="3:8" x14ac:dyDescent="0.2">
      <c r="C2296" s="195">
        <v>44694</v>
      </c>
      <c r="D2296" s="55">
        <v>280</v>
      </c>
      <c r="E2296" s="55" t="s">
        <v>4249</v>
      </c>
      <c r="F2296" s="55" t="s">
        <v>263</v>
      </c>
      <c r="G2296" s="55" t="s">
        <v>579</v>
      </c>
      <c r="H2296" s="50" t="s">
        <v>224</v>
      </c>
    </row>
    <row r="2297" spans="3:8" x14ac:dyDescent="0.2">
      <c r="C2297" s="195">
        <v>44706</v>
      </c>
      <c r="D2297" s="55">
        <v>260</v>
      </c>
      <c r="E2297" s="55" t="s">
        <v>4250</v>
      </c>
      <c r="F2297" s="55" t="s">
        <v>244</v>
      </c>
      <c r="G2297" s="55" t="s">
        <v>696</v>
      </c>
      <c r="H2297" s="50" t="s">
        <v>4251</v>
      </c>
    </row>
    <row r="2298" spans="3:8" x14ac:dyDescent="0.2">
      <c r="C2298" s="195">
        <v>44706</v>
      </c>
      <c r="D2298" s="55">
        <v>280</v>
      </c>
      <c r="E2298" s="55" t="s">
        <v>4252</v>
      </c>
      <c r="F2298" s="55" t="s">
        <v>210</v>
      </c>
      <c r="G2298" s="55" t="s">
        <v>2684</v>
      </c>
      <c r="H2298" s="50" t="s">
        <v>4253</v>
      </c>
    </row>
    <row r="2299" spans="3:8" x14ac:dyDescent="0.2">
      <c r="C2299" s="195">
        <v>44698</v>
      </c>
      <c r="D2299" s="55">
        <v>260</v>
      </c>
      <c r="E2299" s="55" t="s">
        <v>4254</v>
      </c>
      <c r="F2299" s="55" t="s">
        <v>210</v>
      </c>
      <c r="G2299" s="55" t="s">
        <v>2684</v>
      </c>
      <c r="H2299" s="50" t="s">
        <v>4255</v>
      </c>
    </row>
    <row r="2300" spans="3:8" x14ac:dyDescent="0.2">
      <c r="C2300" s="195">
        <v>44698</v>
      </c>
      <c r="D2300" s="55">
        <v>260</v>
      </c>
      <c r="E2300" s="55" t="s">
        <v>4256</v>
      </c>
      <c r="F2300" s="55" t="s">
        <v>231</v>
      </c>
      <c r="G2300" s="55" t="s">
        <v>232</v>
      </c>
      <c r="H2300" s="50" t="s">
        <v>4257</v>
      </c>
    </row>
    <row r="2301" spans="3:8" x14ac:dyDescent="0.2">
      <c r="C2301" s="195">
        <v>44684</v>
      </c>
      <c r="D2301" s="55">
        <v>280</v>
      </c>
      <c r="E2301" s="55" t="s">
        <v>4258</v>
      </c>
      <c r="F2301" s="55" t="s">
        <v>263</v>
      </c>
      <c r="G2301" s="55" t="s">
        <v>693</v>
      </c>
      <c r="H2301" s="50" t="s">
        <v>4259</v>
      </c>
    </row>
    <row r="2302" spans="3:8" x14ac:dyDescent="0.2">
      <c r="C2302" s="195">
        <v>44707</v>
      </c>
      <c r="D2302" s="55">
        <v>280</v>
      </c>
      <c r="E2302" s="55" t="s">
        <v>4260</v>
      </c>
      <c r="F2302" s="55" t="s">
        <v>206</v>
      </c>
      <c r="G2302" s="55" t="s">
        <v>228</v>
      </c>
      <c r="H2302" s="50" t="s">
        <v>4261</v>
      </c>
    </row>
    <row r="2303" spans="3:8" x14ac:dyDescent="0.2">
      <c r="C2303" s="195">
        <v>44705</v>
      </c>
      <c r="D2303" s="55">
        <v>280</v>
      </c>
      <c r="E2303" s="55" t="s">
        <v>4262</v>
      </c>
      <c r="F2303" s="55" t="s">
        <v>244</v>
      </c>
      <c r="G2303" s="55" t="s">
        <v>378</v>
      </c>
      <c r="H2303" s="50" t="s">
        <v>4263</v>
      </c>
    </row>
    <row r="2304" spans="3:8" x14ac:dyDescent="0.2">
      <c r="C2304" s="195">
        <v>44698</v>
      </c>
      <c r="D2304" s="55">
        <v>260</v>
      </c>
      <c r="E2304" s="55" t="s">
        <v>4264</v>
      </c>
      <c r="F2304" s="55" t="s">
        <v>263</v>
      </c>
      <c r="G2304" s="55" t="s">
        <v>633</v>
      </c>
      <c r="H2304" s="50" t="s">
        <v>4265</v>
      </c>
    </row>
    <row r="2305" spans="1:62" x14ac:dyDescent="0.2">
      <c r="A2305" s="57">
        <v>522</v>
      </c>
      <c r="B2305" t="s">
        <v>836</v>
      </c>
      <c r="C2305" s="195">
        <v>44684</v>
      </c>
      <c r="D2305" s="55">
        <v>260</v>
      </c>
      <c r="E2305" s="55" t="s">
        <v>4266</v>
      </c>
      <c r="F2305" s="55" t="s">
        <v>231</v>
      </c>
      <c r="G2305" s="55" t="s">
        <v>421</v>
      </c>
      <c r="H2305" s="50" t="s">
        <v>4267</v>
      </c>
      <c r="I2305" s="46" t="s">
        <v>837</v>
      </c>
    </row>
    <row r="2306" spans="1:62" x14ac:dyDescent="0.2">
      <c r="C2306" s="195">
        <v>44712</v>
      </c>
      <c r="D2306" s="55">
        <v>280</v>
      </c>
      <c r="E2306" s="55" t="s">
        <v>4268</v>
      </c>
      <c r="F2306" s="55" t="s">
        <v>263</v>
      </c>
      <c r="G2306" s="55" t="s">
        <v>426</v>
      </c>
      <c r="H2306" s="50" t="s">
        <v>224</v>
      </c>
    </row>
    <row r="2307" spans="1:62" x14ac:dyDescent="0.2">
      <c r="A2307" s="57">
        <v>522</v>
      </c>
      <c r="B2307" t="s">
        <v>836</v>
      </c>
      <c r="C2307" s="195">
        <v>44683</v>
      </c>
      <c r="D2307" s="55">
        <v>280</v>
      </c>
      <c r="E2307" s="55" t="s">
        <v>4269</v>
      </c>
      <c r="F2307" s="55" t="s">
        <v>267</v>
      </c>
      <c r="G2307" s="55" t="s">
        <v>708</v>
      </c>
      <c r="H2307" s="50" t="s">
        <v>224</v>
      </c>
      <c r="I2307" s="46" t="s">
        <v>837</v>
      </c>
    </row>
    <row r="2308" spans="1:62" x14ac:dyDescent="0.2">
      <c r="C2308" s="195">
        <v>44707</v>
      </c>
      <c r="D2308" s="55">
        <v>260</v>
      </c>
      <c r="E2308" s="55" t="s">
        <v>4270</v>
      </c>
      <c r="F2308" s="55" t="s">
        <v>390</v>
      </c>
      <c r="G2308" s="55" t="s">
        <v>922</v>
      </c>
      <c r="H2308" s="50" t="s">
        <v>4271</v>
      </c>
    </row>
    <row r="2309" spans="1:62" x14ac:dyDescent="0.2">
      <c r="A2309" s="57">
        <v>522</v>
      </c>
      <c r="B2309" s="162" t="s">
        <v>836</v>
      </c>
      <c r="C2309" s="195">
        <v>44704</v>
      </c>
      <c r="D2309" s="55">
        <v>260</v>
      </c>
      <c r="E2309" s="55" t="s">
        <v>4272</v>
      </c>
      <c r="F2309" s="55" t="s">
        <v>267</v>
      </c>
      <c r="G2309" s="55" t="s">
        <v>268</v>
      </c>
      <c r="I2309" s="46" t="s">
        <v>839</v>
      </c>
      <c r="J2309" s="52">
        <v>1</v>
      </c>
      <c r="K2309" s="52">
        <v>1</v>
      </c>
      <c r="O2309" s="1">
        <v>1</v>
      </c>
      <c r="S2309" s="1">
        <v>1</v>
      </c>
      <c r="W2309" s="1">
        <v>1</v>
      </c>
      <c r="AA2309" s="1">
        <v>5</v>
      </c>
      <c r="AG2309">
        <v>5</v>
      </c>
      <c r="AM2309">
        <v>5</v>
      </c>
      <c r="AS2309">
        <v>5</v>
      </c>
      <c r="AT2309">
        <v>1</v>
      </c>
      <c r="AU2309">
        <v>1</v>
      </c>
      <c r="AZ2309">
        <v>1</v>
      </c>
      <c r="BA2309">
        <v>1</v>
      </c>
      <c r="BB2309">
        <v>1</v>
      </c>
      <c r="BC2309">
        <v>1</v>
      </c>
      <c r="BD2309">
        <v>1</v>
      </c>
      <c r="BE2309">
        <v>5</v>
      </c>
      <c r="BJ2309">
        <v>1</v>
      </c>
    </row>
    <row r="2310" spans="1:62" x14ac:dyDescent="0.2">
      <c r="C2310" s="195">
        <v>44706</v>
      </c>
      <c r="D2310" s="55">
        <v>280</v>
      </c>
      <c r="E2310" s="55" t="s">
        <v>4273</v>
      </c>
      <c r="F2310" s="55" t="s">
        <v>291</v>
      </c>
      <c r="G2310" s="55" t="s">
        <v>607</v>
      </c>
      <c r="H2310" s="50" t="s">
        <v>224</v>
      </c>
    </row>
    <row r="2311" spans="1:62" x14ac:dyDescent="0.2">
      <c r="C2311" s="195">
        <v>44706</v>
      </c>
      <c r="D2311" s="55">
        <v>260</v>
      </c>
      <c r="E2311" s="55" t="s">
        <v>4274</v>
      </c>
      <c r="F2311" s="55" t="s">
        <v>244</v>
      </c>
      <c r="G2311" s="55" t="s">
        <v>393</v>
      </c>
      <c r="H2311" s="50" t="s">
        <v>224</v>
      </c>
    </row>
    <row r="2312" spans="1:62" x14ac:dyDescent="0.2">
      <c r="C2312" s="195">
        <v>44706</v>
      </c>
      <c r="D2312" s="55">
        <v>260</v>
      </c>
      <c r="E2312" s="55" t="s">
        <v>4275</v>
      </c>
      <c r="F2312" s="55" t="s">
        <v>202</v>
      </c>
      <c r="G2312" s="55" t="s">
        <v>321</v>
      </c>
      <c r="H2312" s="50" t="s">
        <v>4276</v>
      </c>
    </row>
    <row r="2313" spans="1:62" x14ac:dyDescent="0.2">
      <c r="C2313" s="195">
        <v>44699</v>
      </c>
      <c r="D2313" s="55">
        <v>260</v>
      </c>
      <c r="E2313" s="55" t="s">
        <v>4277</v>
      </c>
      <c r="F2313" s="55" t="s">
        <v>202</v>
      </c>
      <c r="G2313" s="55" t="s">
        <v>344</v>
      </c>
      <c r="H2313" s="50" t="s">
        <v>224</v>
      </c>
    </row>
    <row r="2314" spans="1:62" x14ac:dyDescent="0.2">
      <c r="C2314" s="195">
        <v>44712</v>
      </c>
      <c r="D2314" s="55">
        <v>260</v>
      </c>
      <c r="E2314" s="55" t="s">
        <v>4278</v>
      </c>
      <c r="F2314" s="55" t="s">
        <v>231</v>
      </c>
      <c r="G2314" s="55" t="s">
        <v>232</v>
      </c>
      <c r="H2314" s="50" t="s">
        <v>224</v>
      </c>
    </row>
    <row r="2315" spans="1:62" x14ac:dyDescent="0.2">
      <c r="C2315" s="195">
        <v>44707</v>
      </c>
      <c r="D2315" s="55">
        <v>280</v>
      </c>
      <c r="E2315" s="55" t="s">
        <v>4279</v>
      </c>
      <c r="F2315" s="55" t="s">
        <v>231</v>
      </c>
      <c r="G2315" s="55" t="s">
        <v>232</v>
      </c>
      <c r="H2315" s="50" t="s">
        <v>2115</v>
      </c>
    </row>
    <row r="2316" spans="1:62" x14ac:dyDescent="0.2">
      <c r="C2316" s="195">
        <v>44691</v>
      </c>
      <c r="D2316" s="55">
        <v>280</v>
      </c>
      <c r="E2316" s="55" t="s">
        <v>4280</v>
      </c>
      <c r="F2316" s="55" t="s">
        <v>192</v>
      </c>
      <c r="G2316" s="55" t="s">
        <v>640</v>
      </c>
      <c r="H2316" s="50" t="s">
        <v>4281</v>
      </c>
    </row>
    <row r="2317" spans="1:62" x14ac:dyDescent="0.2">
      <c r="C2317" s="195">
        <v>44706</v>
      </c>
      <c r="D2317" s="55">
        <v>260</v>
      </c>
      <c r="E2317" s="55" t="s">
        <v>4282</v>
      </c>
      <c r="F2317" s="55" t="s">
        <v>202</v>
      </c>
      <c r="G2317" s="55" t="s">
        <v>344</v>
      </c>
    </row>
    <row r="2318" spans="1:62" x14ac:dyDescent="0.2">
      <c r="C2318" s="195">
        <v>44700</v>
      </c>
      <c r="D2318" s="55">
        <v>260</v>
      </c>
      <c r="E2318" s="55" t="s">
        <v>4283</v>
      </c>
      <c r="F2318" s="55" t="s">
        <v>390</v>
      </c>
      <c r="G2318" s="55" t="s">
        <v>671</v>
      </c>
      <c r="H2318" s="50" t="s">
        <v>4284</v>
      </c>
    </row>
    <row r="2319" spans="1:62" x14ac:dyDescent="0.2">
      <c r="C2319" s="195">
        <v>44698</v>
      </c>
      <c r="D2319" s="55">
        <v>260</v>
      </c>
      <c r="E2319" s="55" t="s">
        <v>4285</v>
      </c>
      <c r="F2319" s="55" t="s">
        <v>192</v>
      </c>
      <c r="G2319" s="55" t="s">
        <v>487</v>
      </c>
      <c r="H2319" s="50" t="s">
        <v>4286</v>
      </c>
    </row>
    <row r="2320" spans="1:62" x14ac:dyDescent="0.2">
      <c r="C2320" s="195">
        <v>44694</v>
      </c>
      <c r="D2320" s="55">
        <v>280</v>
      </c>
      <c r="E2320" s="55" t="s">
        <v>4287</v>
      </c>
      <c r="F2320" s="55" t="s">
        <v>196</v>
      </c>
      <c r="G2320" s="55" t="s">
        <v>349</v>
      </c>
      <c r="H2320" s="50" t="s">
        <v>4288</v>
      </c>
    </row>
    <row r="2321" spans="1:62" x14ac:dyDescent="0.2">
      <c r="C2321" s="195">
        <v>44686</v>
      </c>
      <c r="D2321" s="55">
        <v>260</v>
      </c>
      <c r="E2321" s="55" t="s">
        <v>4289</v>
      </c>
      <c r="F2321" s="55" t="s">
        <v>231</v>
      </c>
      <c r="G2321" s="55" t="s">
        <v>371</v>
      </c>
      <c r="H2321" s="50" t="s">
        <v>4290</v>
      </c>
    </row>
    <row r="2322" spans="1:62" x14ac:dyDescent="0.2">
      <c r="C2322" s="195">
        <v>44705</v>
      </c>
      <c r="D2322" s="55">
        <v>260</v>
      </c>
      <c r="E2322" s="55" t="s">
        <v>4291</v>
      </c>
      <c r="F2322" s="55" t="s">
        <v>219</v>
      </c>
      <c r="G2322" s="55" t="s">
        <v>451</v>
      </c>
      <c r="H2322" s="50" t="s">
        <v>4292</v>
      </c>
    </row>
    <row r="2323" spans="1:62" x14ac:dyDescent="0.2">
      <c r="A2323" s="57">
        <v>522</v>
      </c>
      <c r="B2323" s="162" t="s">
        <v>836</v>
      </c>
      <c r="C2323" s="195">
        <v>44684</v>
      </c>
      <c r="D2323" s="55">
        <v>260</v>
      </c>
      <c r="E2323" s="55" t="s">
        <v>4293</v>
      </c>
      <c r="F2323" s="55" t="s">
        <v>192</v>
      </c>
      <c r="G2323" s="55" t="s">
        <v>258</v>
      </c>
      <c r="H2323" s="50" t="s">
        <v>224</v>
      </c>
      <c r="I2323" s="46" t="s">
        <v>839</v>
      </c>
      <c r="J2323" s="52">
        <v>1</v>
      </c>
      <c r="K2323" s="52">
        <v>1</v>
      </c>
      <c r="O2323" s="1">
        <v>1</v>
      </c>
      <c r="S2323" s="1">
        <v>1</v>
      </c>
      <c r="W2323" s="1">
        <v>1</v>
      </c>
      <c r="AA2323" s="1">
        <v>1</v>
      </c>
      <c r="AG2323">
        <v>1</v>
      </c>
      <c r="AM2323">
        <v>5</v>
      </c>
      <c r="AS2323">
        <v>5</v>
      </c>
      <c r="AT2323">
        <v>1</v>
      </c>
      <c r="AU2323">
        <v>1</v>
      </c>
      <c r="AZ2323">
        <v>1</v>
      </c>
      <c r="BA2323">
        <v>1</v>
      </c>
      <c r="BB2323">
        <v>1</v>
      </c>
      <c r="BC2323">
        <v>1</v>
      </c>
      <c r="BD2323">
        <v>1</v>
      </c>
      <c r="BE2323">
        <v>1</v>
      </c>
      <c r="BJ2323">
        <v>1</v>
      </c>
    </row>
    <row r="2324" spans="1:62" x14ac:dyDescent="0.2">
      <c r="C2324" s="195">
        <v>44704</v>
      </c>
      <c r="D2324" s="55">
        <v>260</v>
      </c>
      <c r="E2324" s="55" t="s">
        <v>4294</v>
      </c>
      <c r="F2324" s="55" t="s">
        <v>219</v>
      </c>
      <c r="G2324" s="55" t="s">
        <v>451</v>
      </c>
      <c r="H2324" s="50" t="s">
        <v>4295</v>
      </c>
    </row>
    <row r="2325" spans="1:62" x14ac:dyDescent="0.2">
      <c r="C2325" s="195">
        <v>44683</v>
      </c>
      <c r="D2325" s="55">
        <v>260</v>
      </c>
      <c r="E2325" s="55" t="s">
        <v>4296</v>
      </c>
      <c r="F2325" s="55" t="s">
        <v>192</v>
      </c>
      <c r="G2325" s="55" t="s">
        <v>487</v>
      </c>
      <c r="H2325" s="50" t="s">
        <v>4297</v>
      </c>
    </row>
    <row r="2326" spans="1:62" x14ac:dyDescent="0.2">
      <c r="C2326" s="195">
        <v>44691</v>
      </c>
      <c r="D2326" s="55">
        <v>280</v>
      </c>
      <c r="E2326" s="55" t="s">
        <v>4298</v>
      </c>
      <c r="F2326" s="55" t="s">
        <v>231</v>
      </c>
      <c r="G2326" s="55" t="s">
        <v>421</v>
      </c>
      <c r="H2326" s="50" t="s">
        <v>4299</v>
      </c>
    </row>
    <row r="2327" spans="1:62" x14ac:dyDescent="0.2">
      <c r="C2327" s="195">
        <v>44701</v>
      </c>
      <c r="D2327" s="55">
        <v>280</v>
      </c>
      <c r="E2327" s="55" t="s">
        <v>4300</v>
      </c>
      <c r="F2327" s="55" t="s">
        <v>196</v>
      </c>
      <c r="G2327" s="55" t="s">
        <v>352</v>
      </c>
      <c r="H2327" s="50" t="s">
        <v>4301</v>
      </c>
    </row>
    <row r="2328" spans="1:62" x14ac:dyDescent="0.2">
      <c r="C2328" s="195">
        <v>44705</v>
      </c>
      <c r="D2328" s="55">
        <v>260</v>
      </c>
      <c r="E2328" s="55" t="s">
        <v>4302</v>
      </c>
      <c r="F2328" s="55" t="s">
        <v>206</v>
      </c>
      <c r="G2328" s="55" t="s">
        <v>207</v>
      </c>
      <c r="H2328" s="50" t="s">
        <v>4303</v>
      </c>
    </row>
    <row r="2329" spans="1:62" x14ac:dyDescent="0.2">
      <c r="C2329" s="195">
        <v>44707</v>
      </c>
      <c r="D2329" s="55">
        <v>260</v>
      </c>
      <c r="E2329" s="55" t="s">
        <v>4304</v>
      </c>
      <c r="F2329" s="55" t="s">
        <v>192</v>
      </c>
      <c r="G2329" s="55" t="s">
        <v>401</v>
      </c>
      <c r="H2329" s="50" t="s">
        <v>4305</v>
      </c>
    </row>
    <row r="2330" spans="1:62" x14ac:dyDescent="0.2">
      <c r="C2330" s="195">
        <v>44699</v>
      </c>
      <c r="D2330" s="55">
        <v>260</v>
      </c>
      <c r="E2330" s="55" t="s">
        <v>4306</v>
      </c>
      <c r="F2330" s="55" t="s">
        <v>263</v>
      </c>
      <c r="G2330" s="55" t="s">
        <v>413</v>
      </c>
      <c r="H2330" s="50" t="s">
        <v>4307</v>
      </c>
    </row>
    <row r="2331" spans="1:62" x14ac:dyDescent="0.2">
      <c r="A2331" s="57">
        <v>522</v>
      </c>
      <c r="B2331" t="s">
        <v>836</v>
      </c>
      <c r="C2331" s="195">
        <v>44692</v>
      </c>
      <c r="D2331" s="55">
        <v>280</v>
      </c>
      <c r="E2331" s="55" t="s">
        <v>4308</v>
      </c>
      <c r="F2331" s="55" t="s">
        <v>291</v>
      </c>
      <c r="G2331" s="55" t="s">
        <v>1247</v>
      </c>
      <c r="H2331" s="50" t="s">
        <v>224</v>
      </c>
      <c r="I2331" s="46" t="s">
        <v>839</v>
      </c>
      <c r="J2331" s="52">
        <v>1</v>
      </c>
      <c r="K2331" s="52">
        <v>1</v>
      </c>
      <c r="O2331" s="1">
        <v>1</v>
      </c>
      <c r="S2331" s="1">
        <v>1</v>
      </c>
      <c r="W2331" s="1">
        <v>1</v>
      </c>
      <c r="AA2331" s="1">
        <v>1</v>
      </c>
      <c r="AG2331">
        <v>1</v>
      </c>
      <c r="AM2331">
        <v>1</v>
      </c>
      <c r="AN2331">
        <v>3</v>
      </c>
      <c r="AO2331">
        <v>3</v>
      </c>
      <c r="AP2331">
        <v>3</v>
      </c>
      <c r="AQ2331">
        <v>3</v>
      </c>
      <c r="AR2331">
        <v>3</v>
      </c>
      <c r="AS2331">
        <v>3</v>
      </c>
      <c r="AT2331">
        <v>1</v>
      </c>
      <c r="AU2331">
        <v>1</v>
      </c>
      <c r="AZ2331">
        <v>1</v>
      </c>
      <c r="BA2331">
        <v>1</v>
      </c>
      <c r="BB2331">
        <v>1</v>
      </c>
      <c r="BC2331">
        <v>1</v>
      </c>
      <c r="BD2331">
        <v>1</v>
      </c>
      <c r="BE2331">
        <v>1</v>
      </c>
      <c r="BJ2331">
        <v>1</v>
      </c>
    </row>
    <row r="2332" spans="1:62" x14ac:dyDescent="0.2">
      <c r="C2332" s="195">
        <v>44705</v>
      </c>
      <c r="D2332" s="55">
        <v>260</v>
      </c>
      <c r="E2332" s="55" t="s">
        <v>4309</v>
      </c>
      <c r="F2332" s="55" t="s">
        <v>206</v>
      </c>
      <c r="G2332" s="55" t="s">
        <v>207</v>
      </c>
      <c r="H2332" s="50" t="s">
        <v>4310</v>
      </c>
    </row>
    <row r="2333" spans="1:62" x14ac:dyDescent="0.2">
      <c r="C2333" s="195">
        <v>44687</v>
      </c>
      <c r="D2333" s="55">
        <v>260</v>
      </c>
      <c r="E2333" s="55" t="s">
        <v>4311</v>
      </c>
      <c r="F2333" s="55" t="s">
        <v>231</v>
      </c>
      <c r="G2333" s="55" t="s">
        <v>371</v>
      </c>
      <c r="H2333" s="50" t="s">
        <v>4312</v>
      </c>
    </row>
    <row r="2334" spans="1:62" x14ac:dyDescent="0.2">
      <c r="C2334" s="195">
        <v>44708</v>
      </c>
      <c r="D2334" s="55">
        <v>280</v>
      </c>
      <c r="E2334" s="55" t="s">
        <v>4313</v>
      </c>
      <c r="F2334" s="55" t="s">
        <v>244</v>
      </c>
      <c r="G2334" s="55" t="s">
        <v>378</v>
      </c>
      <c r="H2334" s="50" t="s">
        <v>4314</v>
      </c>
    </row>
    <row r="2335" spans="1:62" x14ac:dyDescent="0.2">
      <c r="C2335" s="195">
        <v>44712</v>
      </c>
      <c r="D2335" s="55">
        <v>260</v>
      </c>
      <c r="E2335" s="55" t="s">
        <v>4315</v>
      </c>
      <c r="F2335" s="55" t="s">
        <v>267</v>
      </c>
      <c r="G2335" s="55" t="s">
        <v>357</v>
      </c>
      <c r="H2335" s="50" t="s">
        <v>224</v>
      </c>
    </row>
    <row r="2336" spans="1:62" x14ac:dyDescent="0.2">
      <c r="C2336" s="195">
        <v>44712</v>
      </c>
      <c r="D2336" s="55">
        <v>280</v>
      </c>
      <c r="E2336" s="55" t="s">
        <v>4316</v>
      </c>
      <c r="F2336" s="55" t="s">
        <v>231</v>
      </c>
      <c r="G2336" s="55" t="s">
        <v>421</v>
      </c>
      <c r="H2336" s="50" t="s">
        <v>4317</v>
      </c>
    </row>
    <row r="2337" spans="3:8" x14ac:dyDescent="0.2">
      <c r="C2337" s="195">
        <v>44712</v>
      </c>
      <c r="D2337" s="55">
        <v>280</v>
      </c>
      <c r="E2337" s="55" t="s">
        <v>4318</v>
      </c>
      <c r="F2337" s="55" t="s">
        <v>192</v>
      </c>
      <c r="G2337" s="55" t="s">
        <v>640</v>
      </c>
      <c r="H2337" s="50" t="s">
        <v>224</v>
      </c>
    </row>
    <row r="2338" spans="3:8" x14ac:dyDescent="0.2">
      <c r="C2338" s="195">
        <v>44708</v>
      </c>
      <c r="D2338" s="55">
        <v>260</v>
      </c>
      <c r="E2338" s="55" t="s">
        <v>4319</v>
      </c>
      <c r="F2338" s="55" t="s">
        <v>390</v>
      </c>
      <c r="G2338" s="55" t="s">
        <v>590</v>
      </c>
      <c r="H2338" s="50" t="s">
        <v>4320</v>
      </c>
    </row>
    <row r="2339" spans="3:8" x14ac:dyDescent="0.2">
      <c r="C2339" s="195">
        <v>44707</v>
      </c>
      <c r="D2339" s="55">
        <v>280</v>
      </c>
      <c r="E2339" s="55" t="s">
        <v>4321</v>
      </c>
      <c r="F2339" s="55" t="s">
        <v>231</v>
      </c>
      <c r="G2339" s="55" t="s">
        <v>3965</v>
      </c>
      <c r="H2339" s="50" t="s">
        <v>4322</v>
      </c>
    </row>
    <row r="2340" spans="3:8" x14ac:dyDescent="0.2">
      <c r="C2340" s="195">
        <v>44697</v>
      </c>
      <c r="D2340" s="55">
        <v>260</v>
      </c>
      <c r="E2340" s="55" t="s">
        <v>4323</v>
      </c>
      <c r="F2340" s="55" t="s">
        <v>196</v>
      </c>
      <c r="G2340" s="55" t="s">
        <v>352</v>
      </c>
      <c r="H2340" s="50" t="s">
        <v>4324</v>
      </c>
    </row>
    <row r="2341" spans="3:8" x14ac:dyDescent="0.2">
      <c r="C2341" s="195">
        <v>44693</v>
      </c>
      <c r="D2341" s="55">
        <v>260</v>
      </c>
      <c r="E2341" s="55" t="s">
        <v>4325</v>
      </c>
      <c r="F2341" s="55" t="s">
        <v>267</v>
      </c>
      <c r="G2341" s="55" t="s">
        <v>331</v>
      </c>
      <c r="H2341" s="50" t="s">
        <v>4326</v>
      </c>
    </row>
    <row r="2342" spans="3:8" x14ac:dyDescent="0.2">
      <c r="C2342" s="195">
        <v>44694</v>
      </c>
      <c r="D2342" s="55">
        <v>280</v>
      </c>
      <c r="E2342" s="55" t="s">
        <v>4327</v>
      </c>
      <c r="F2342" s="55" t="s">
        <v>231</v>
      </c>
      <c r="G2342" s="55" t="s">
        <v>3096</v>
      </c>
      <c r="H2342" s="50" t="s">
        <v>4328</v>
      </c>
    </row>
    <row r="2343" spans="3:8" x14ac:dyDescent="0.2">
      <c r="C2343" s="195">
        <v>44687</v>
      </c>
      <c r="D2343" s="55">
        <v>260</v>
      </c>
      <c r="E2343" s="55" t="s">
        <v>4329</v>
      </c>
      <c r="F2343" s="55" t="s">
        <v>196</v>
      </c>
      <c r="G2343" s="55" t="s">
        <v>352</v>
      </c>
      <c r="H2343" s="50" t="s">
        <v>4330</v>
      </c>
    </row>
    <row r="2344" spans="3:8" x14ac:dyDescent="0.2">
      <c r="C2344" s="195">
        <v>44694</v>
      </c>
      <c r="D2344" s="55">
        <v>260</v>
      </c>
      <c r="E2344" s="55" t="s">
        <v>4331</v>
      </c>
      <c r="F2344" s="55" t="s">
        <v>210</v>
      </c>
      <c r="G2344" s="55" t="s">
        <v>306</v>
      </c>
      <c r="H2344" s="50" t="s">
        <v>4332</v>
      </c>
    </row>
    <row r="2345" spans="3:8" x14ac:dyDescent="0.2">
      <c r="C2345" s="195">
        <v>44708</v>
      </c>
      <c r="D2345" s="55">
        <v>260</v>
      </c>
      <c r="E2345" s="55" t="s">
        <v>4333</v>
      </c>
      <c r="F2345" s="55" t="s">
        <v>192</v>
      </c>
      <c r="G2345" s="55" t="s">
        <v>193</v>
      </c>
      <c r="H2345" s="50" t="s">
        <v>4334</v>
      </c>
    </row>
    <row r="2346" spans="3:8" x14ac:dyDescent="0.2">
      <c r="C2346" s="195">
        <v>44706</v>
      </c>
      <c r="D2346" s="55">
        <v>260</v>
      </c>
      <c r="E2346" s="55" t="s">
        <v>4335</v>
      </c>
      <c r="F2346" s="55" t="s">
        <v>202</v>
      </c>
      <c r="G2346" s="55" t="s">
        <v>344</v>
      </c>
      <c r="H2346" s="50" t="s">
        <v>4336</v>
      </c>
    </row>
    <row r="2347" spans="3:8" x14ac:dyDescent="0.2">
      <c r="C2347" s="195">
        <v>44694</v>
      </c>
      <c r="D2347" s="55">
        <v>280</v>
      </c>
      <c r="E2347" s="55" t="s">
        <v>4337</v>
      </c>
      <c r="F2347" s="55" t="s">
        <v>231</v>
      </c>
      <c r="G2347" s="55" t="s">
        <v>371</v>
      </c>
      <c r="H2347" s="50" t="s">
        <v>4338</v>
      </c>
    </row>
    <row r="2348" spans="3:8" x14ac:dyDescent="0.2">
      <c r="C2348" s="195">
        <v>44699</v>
      </c>
      <c r="D2348" s="55">
        <v>260</v>
      </c>
      <c r="E2348" s="55" t="s">
        <v>4339</v>
      </c>
      <c r="F2348" s="55" t="s">
        <v>231</v>
      </c>
      <c r="G2348" s="55" t="s">
        <v>435</v>
      </c>
      <c r="H2348" s="50" t="s">
        <v>4340</v>
      </c>
    </row>
    <row r="2349" spans="3:8" x14ac:dyDescent="0.2">
      <c r="C2349" s="195">
        <v>44686</v>
      </c>
      <c r="D2349" s="55">
        <v>280</v>
      </c>
      <c r="E2349" s="55" t="s">
        <v>4341</v>
      </c>
      <c r="F2349" s="55" t="s">
        <v>196</v>
      </c>
      <c r="G2349" s="55" t="s">
        <v>349</v>
      </c>
      <c r="H2349" s="50" t="s">
        <v>4342</v>
      </c>
    </row>
    <row r="2350" spans="3:8" x14ac:dyDescent="0.2">
      <c r="C2350" s="195">
        <v>44685</v>
      </c>
      <c r="D2350" s="55">
        <v>280</v>
      </c>
      <c r="E2350" s="55" t="s">
        <v>4343</v>
      </c>
      <c r="F2350" s="55" t="s">
        <v>206</v>
      </c>
      <c r="G2350" s="55" t="s">
        <v>338</v>
      </c>
      <c r="H2350" s="50" t="s">
        <v>224</v>
      </c>
    </row>
    <row r="2351" spans="3:8" x14ac:dyDescent="0.2">
      <c r="C2351" s="195">
        <v>44701</v>
      </c>
      <c r="D2351" s="55">
        <v>260</v>
      </c>
      <c r="E2351" s="55" t="s">
        <v>4344</v>
      </c>
      <c r="F2351" s="55" t="s">
        <v>267</v>
      </c>
      <c r="G2351" s="55" t="s">
        <v>268</v>
      </c>
      <c r="H2351" s="50" t="s">
        <v>4345</v>
      </c>
    </row>
    <row r="2352" spans="3:8" x14ac:dyDescent="0.2">
      <c r="C2352" s="195">
        <v>44708</v>
      </c>
      <c r="D2352" s="55">
        <v>280</v>
      </c>
      <c r="E2352" s="55" t="s">
        <v>4346</v>
      </c>
      <c r="F2352" s="55" t="s">
        <v>263</v>
      </c>
      <c r="G2352" s="55" t="s">
        <v>1005</v>
      </c>
      <c r="H2352" s="50" t="s">
        <v>4347</v>
      </c>
    </row>
    <row r="2353" spans="3:8" x14ac:dyDescent="0.2">
      <c r="C2353" s="195">
        <v>44704</v>
      </c>
      <c r="D2353" s="55">
        <v>260</v>
      </c>
      <c r="E2353" s="55" t="s">
        <v>4348</v>
      </c>
      <c r="F2353" s="55" t="s">
        <v>192</v>
      </c>
      <c r="G2353" s="55" t="s">
        <v>487</v>
      </c>
      <c r="H2353" s="50" t="s">
        <v>4349</v>
      </c>
    </row>
    <row r="2354" spans="3:8" x14ac:dyDescent="0.2">
      <c r="C2354" s="195">
        <v>44701</v>
      </c>
      <c r="D2354" s="55">
        <v>260</v>
      </c>
      <c r="E2354" s="55" t="s">
        <v>4350</v>
      </c>
      <c r="F2354" s="55" t="s">
        <v>263</v>
      </c>
      <c r="G2354" s="55" t="s">
        <v>413</v>
      </c>
      <c r="H2354" s="50" t="s">
        <v>4351</v>
      </c>
    </row>
    <row r="2355" spans="3:8" x14ac:dyDescent="0.2">
      <c r="C2355" s="195">
        <v>44693</v>
      </c>
      <c r="D2355" s="55">
        <v>260</v>
      </c>
      <c r="E2355" s="55" t="s">
        <v>4352</v>
      </c>
      <c r="F2355" s="55" t="s">
        <v>202</v>
      </c>
      <c r="G2355" s="55" t="s">
        <v>344</v>
      </c>
      <c r="H2355" s="50" t="s">
        <v>4353</v>
      </c>
    </row>
    <row r="2356" spans="3:8" x14ac:dyDescent="0.2">
      <c r="C2356" s="195">
        <v>44712</v>
      </c>
      <c r="D2356" s="55">
        <v>260</v>
      </c>
      <c r="E2356" s="55" t="s">
        <v>4354</v>
      </c>
      <c r="F2356" s="55" t="s">
        <v>231</v>
      </c>
      <c r="G2356" s="55" t="s">
        <v>371</v>
      </c>
      <c r="H2356" s="50" t="s">
        <v>4355</v>
      </c>
    </row>
    <row r="2357" spans="3:8" x14ac:dyDescent="0.2">
      <c r="C2357" s="195">
        <v>44686</v>
      </c>
      <c r="D2357" s="55">
        <v>260</v>
      </c>
      <c r="E2357" s="55" t="s">
        <v>4356</v>
      </c>
      <c r="F2357" s="55" t="s">
        <v>210</v>
      </c>
      <c r="G2357" s="55" t="s">
        <v>496</v>
      </c>
      <c r="H2357" s="50" t="s">
        <v>4357</v>
      </c>
    </row>
    <row r="2358" spans="3:8" x14ac:dyDescent="0.2">
      <c r="C2358" s="195">
        <v>44712</v>
      </c>
      <c r="D2358" s="55">
        <v>280</v>
      </c>
      <c r="E2358" s="55" t="s">
        <v>4358</v>
      </c>
      <c r="F2358" s="55" t="s">
        <v>192</v>
      </c>
      <c r="G2358" s="55" t="s">
        <v>258</v>
      </c>
      <c r="H2358" s="50" t="s">
        <v>4359</v>
      </c>
    </row>
    <row r="2359" spans="3:8" x14ac:dyDescent="0.2">
      <c r="C2359" s="195">
        <v>44687</v>
      </c>
      <c r="D2359" s="55">
        <v>280</v>
      </c>
      <c r="E2359" s="55" t="s">
        <v>4360</v>
      </c>
      <c r="F2359" s="55" t="s">
        <v>219</v>
      </c>
      <c r="G2359" s="55" t="s">
        <v>540</v>
      </c>
      <c r="H2359" s="50" t="s">
        <v>224</v>
      </c>
    </row>
    <row r="2360" spans="3:8" x14ac:dyDescent="0.2">
      <c r="C2360" s="195">
        <v>44712</v>
      </c>
      <c r="D2360" s="55">
        <v>280</v>
      </c>
      <c r="E2360" s="55" t="s">
        <v>4361</v>
      </c>
      <c r="F2360" s="55" t="s">
        <v>206</v>
      </c>
      <c r="G2360" s="55" t="s">
        <v>214</v>
      </c>
      <c r="H2360" s="50" t="s">
        <v>4362</v>
      </c>
    </row>
    <row r="2361" spans="3:8" x14ac:dyDescent="0.2">
      <c r="C2361" s="195">
        <v>44708</v>
      </c>
      <c r="D2361" s="55">
        <v>260</v>
      </c>
      <c r="E2361" s="55" t="s">
        <v>4363</v>
      </c>
      <c r="F2361" s="55" t="s">
        <v>390</v>
      </c>
      <c r="G2361" s="55" t="s">
        <v>408</v>
      </c>
      <c r="H2361" s="50" t="s">
        <v>4364</v>
      </c>
    </row>
    <row r="2362" spans="3:8" x14ac:dyDescent="0.2">
      <c r="C2362" s="195">
        <v>44712</v>
      </c>
      <c r="D2362" s="55">
        <v>280</v>
      </c>
      <c r="E2362" s="55" t="s">
        <v>4365</v>
      </c>
      <c r="F2362" s="55" t="s">
        <v>206</v>
      </c>
      <c r="G2362" s="55" t="s">
        <v>214</v>
      </c>
      <c r="H2362" s="50" t="s">
        <v>4366</v>
      </c>
    </row>
    <row r="2363" spans="3:8" x14ac:dyDescent="0.2">
      <c r="C2363" s="195">
        <v>44701</v>
      </c>
      <c r="D2363" s="55">
        <v>260</v>
      </c>
      <c r="E2363" s="55" t="s">
        <v>4367</v>
      </c>
      <c r="F2363" s="55" t="s">
        <v>272</v>
      </c>
      <c r="G2363" s="55" t="s">
        <v>3408</v>
      </c>
      <c r="H2363" s="50" t="s">
        <v>4368</v>
      </c>
    </row>
    <row r="2364" spans="3:8" x14ac:dyDescent="0.2">
      <c r="C2364" s="195">
        <v>44686</v>
      </c>
      <c r="D2364" s="55">
        <v>260</v>
      </c>
      <c r="E2364" s="55" t="s">
        <v>4369</v>
      </c>
      <c r="F2364" s="55" t="s">
        <v>390</v>
      </c>
      <c r="G2364" s="55" t="s">
        <v>391</v>
      </c>
      <c r="H2364" s="50" t="s">
        <v>4370</v>
      </c>
    </row>
    <row r="2365" spans="3:8" x14ac:dyDescent="0.2">
      <c r="C2365" s="195">
        <v>44683</v>
      </c>
      <c r="D2365" s="55">
        <v>280</v>
      </c>
      <c r="E2365" s="55" t="s">
        <v>4371</v>
      </c>
      <c r="F2365" s="55" t="s">
        <v>231</v>
      </c>
      <c r="G2365" s="55" t="s">
        <v>255</v>
      </c>
      <c r="H2365" s="50" t="s">
        <v>4372</v>
      </c>
    </row>
    <row r="2366" spans="3:8" x14ac:dyDescent="0.2">
      <c r="C2366" s="195">
        <v>44712</v>
      </c>
      <c r="D2366" s="55">
        <v>280</v>
      </c>
      <c r="E2366" s="55" t="s">
        <v>4373</v>
      </c>
      <c r="F2366" s="55" t="s">
        <v>244</v>
      </c>
      <c r="G2366" s="55" t="s">
        <v>315</v>
      </c>
      <c r="H2366" s="50" t="s">
        <v>224</v>
      </c>
    </row>
    <row r="2367" spans="3:8" x14ac:dyDescent="0.2">
      <c r="C2367" s="195">
        <v>44706</v>
      </c>
      <c r="D2367" s="55">
        <v>260</v>
      </c>
      <c r="E2367" s="55" t="s">
        <v>4374</v>
      </c>
      <c r="F2367" s="55" t="s">
        <v>192</v>
      </c>
      <c r="G2367" s="55" t="s">
        <v>193</v>
      </c>
      <c r="H2367" s="50" t="s">
        <v>4375</v>
      </c>
    </row>
    <row r="2368" spans="3:8" x14ac:dyDescent="0.2">
      <c r="C2368" s="195">
        <v>44706</v>
      </c>
      <c r="D2368" s="55">
        <v>280</v>
      </c>
      <c r="E2368" s="55" t="s">
        <v>4376</v>
      </c>
      <c r="F2368" s="55" t="s">
        <v>244</v>
      </c>
      <c r="G2368" s="55" t="s">
        <v>245</v>
      </c>
      <c r="H2368" s="50" t="s">
        <v>4377</v>
      </c>
    </row>
    <row r="2369" spans="3:8" x14ac:dyDescent="0.2">
      <c r="C2369" s="195">
        <v>44699</v>
      </c>
      <c r="D2369" s="55">
        <v>260</v>
      </c>
      <c r="E2369" s="55" t="s">
        <v>4378</v>
      </c>
      <c r="F2369" s="55" t="s">
        <v>210</v>
      </c>
      <c r="G2369" s="55" t="s">
        <v>496</v>
      </c>
      <c r="H2369" s="50" t="s">
        <v>4379</v>
      </c>
    </row>
    <row r="2370" spans="3:8" x14ac:dyDescent="0.2">
      <c r="C2370" s="195">
        <v>44700</v>
      </c>
      <c r="D2370" s="55">
        <v>280</v>
      </c>
      <c r="E2370" s="55" t="s">
        <v>4380</v>
      </c>
      <c r="F2370" s="55" t="s">
        <v>390</v>
      </c>
      <c r="G2370" s="55" t="s">
        <v>408</v>
      </c>
      <c r="H2370" s="50" t="s">
        <v>4381</v>
      </c>
    </row>
    <row r="2371" spans="3:8" x14ac:dyDescent="0.2">
      <c r="C2371" s="195">
        <v>44712</v>
      </c>
      <c r="D2371" s="55">
        <v>280</v>
      </c>
      <c r="E2371" s="55" t="s">
        <v>4382</v>
      </c>
      <c r="F2371" s="55" t="s">
        <v>192</v>
      </c>
      <c r="G2371" s="55" t="s">
        <v>258</v>
      </c>
      <c r="H2371" s="50" t="s">
        <v>4383</v>
      </c>
    </row>
    <row r="2372" spans="3:8" x14ac:dyDescent="0.2">
      <c r="C2372" s="195">
        <v>44706</v>
      </c>
      <c r="D2372" s="55">
        <v>260</v>
      </c>
      <c r="E2372" s="55" t="s">
        <v>4384</v>
      </c>
      <c r="F2372" s="55" t="s">
        <v>244</v>
      </c>
      <c r="G2372" s="55" t="s">
        <v>245</v>
      </c>
      <c r="H2372" s="50" t="s">
        <v>4385</v>
      </c>
    </row>
    <row r="2373" spans="3:8" x14ac:dyDescent="0.2">
      <c r="C2373" s="195">
        <v>44705</v>
      </c>
      <c r="D2373" s="55">
        <v>280</v>
      </c>
      <c r="E2373" s="55" t="s">
        <v>4386</v>
      </c>
      <c r="F2373" s="55" t="s">
        <v>267</v>
      </c>
      <c r="G2373" s="55" t="s">
        <v>268</v>
      </c>
      <c r="H2373" s="50" t="s">
        <v>224</v>
      </c>
    </row>
    <row r="2374" spans="3:8" x14ac:dyDescent="0.2">
      <c r="C2374" s="195">
        <v>44706</v>
      </c>
      <c r="D2374" s="55">
        <v>280</v>
      </c>
      <c r="E2374" s="55" t="s">
        <v>4387</v>
      </c>
      <c r="F2374" s="55" t="s">
        <v>244</v>
      </c>
      <c r="G2374" s="55" t="s">
        <v>245</v>
      </c>
      <c r="H2374" s="50" t="s">
        <v>4388</v>
      </c>
    </row>
    <row r="2375" spans="3:8" x14ac:dyDescent="0.2">
      <c r="C2375" s="195">
        <v>44700</v>
      </c>
      <c r="D2375" s="55">
        <v>280</v>
      </c>
      <c r="E2375" s="55" t="s">
        <v>4389</v>
      </c>
      <c r="F2375" s="55" t="s">
        <v>219</v>
      </c>
      <c r="G2375" s="55" t="s">
        <v>223</v>
      </c>
      <c r="H2375" s="50" t="s">
        <v>224</v>
      </c>
    </row>
    <row r="2376" spans="3:8" x14ac:dyDescent="0.2">
      <c r="C2376" s="195">
        <v>44684</v>
      </c>
      <c r="D2376" s="55">
        <v>280</v>
      </c>
      <c r="E2376" s="55" t="s">
        <v>4390</v>
      </c>
      <c r="F2376" s="55" t="s">
        <v>202</v>
      </c>
      <c r="G2376" s="55" t="s">
        <v>297</v>
      </c>
      <c r="H2376" s="50" t="s">
        <v>224</v>
      </c>
    </row>
    <row r="2377" spans="3:8" x14ac:dyDescent="0.2">
      <c r="C2377" s="195">
        <v>44707</v>
      </c>
      <c r="D2377" s="55">
        <v>260</v>
      </c>
      <c r="E2377" s="55" t="s">
        <v>4391</v>
      </c>
      <c r="F2377" s="55" t="s">
        <v>196</v>
      </c>
      <c r="G2377" s="55" t="s">
        <v>645</v>
      </c>
      <c r="H2377" s="50" t="s">
        <v>4392</v>
      </c>
    </row>
    <row r="2378" spans="3:8" x14ac:dyDescent="0.2">
      <c r="C2378" s="195">
        <v>44708</v>
      </c>
      <c r="D2378" s="55">
        <v>260</v>
      </c>
      <c r="E2378" s="55" t="s">
        <v>4393</v>
      </c>
      <c r="F2378" s="55" t="s">
        <v>263</v>
      </c>
      <c r="G2378" s="55" t="s">
        <v>892</v>
      </c>
      <c r="H2378" s="50" t="s">
        <v>224</v>
      </c>
    </row>
    <row r="2379" spans="3:8" x14ac:dyDescent="0.2">
      <c r="C2379" s="195">
        <v>44687</v>
      </c>
      <c r="D2379" s="55">
        <v>260</v>
      </c>
      <c r="E2379" s="55" t="s">
        <v>4394</v>
      </c>
      <c r="F2379" s="55" t="s">
        <v>196</v>
      </c>
      <c r="G2379" s="55" t="s">
        <v>352</v>
      </c>
      <c r="H2379" s="50" t="s">
        <v>4395</v>
      </c>
    </row>
    <row r="2380" spans="3:8" x14ac:dyDescent="0.2">
      <c r="C2380" s="195">
        <v>44683</v>
      </c>
      <c r="D2380" s="55">
        <v>260</v>
      </c>
      <c r="E2380" s="55" t="s">
        <v>4396</v>
      </c>
      <c r="F2380" s="55" t="s">
        <v>210</v>
      </c>
      <c r="G2380" s="55" t="s">
        <v>383</v>
      </c>
      <c r="H2380" s="50" t="s">
        <v>224</v>
      </c>
    </row>
    <row r="2381" spans="3:8" x14ac:dyDescent="0.2">
      <c r="C2381" s="195">
        <v>44708</v>
      </c>
      <c r="D2381" s="55">
        <v>260</v>
      </c>
      <c r="E2381" s="55" t="s">
        <v>4397</v>
      </c>
      <c r="F2381" s="55" t="s">
        <v>219</v>
      </c>
      <c r="G2381" s="55" t="s">
        <v>223</v>
      </c>
      <c r="H2381" s="50" t="s">
        <v>4398</v>
      </c>
    </row>
    <row r="2382" spans="3:8" x14ac:dyDescent="0.2">
      <c r="C2382" s="195">
        <v>44694</v>
      </c>
      <c r="D2382" s="55">
        <v>260</v>
      </c>
      <c r="E2382" s="55" t="s">
        <v>4399</v>
      </c>
      <c r="F2382" s="55" t="s">
        <v>272</v>
      </c>
      <c r="G2382" s="55" t="s">
        <v>3408</v>
      </c>
      <c r="H2382" s="50" t="s">
        <v>4400</v>
      </c>
    </row>
    <row r="2383" spans="3:8" x14ac:dyDescent="0.2">
      <c r="C2383" s="195">
        <v>44683</v>
      </c>
      <c r="D2383" s="55">
        <v>280</v>
      </c>
      <c r="E2383" s="55" t="s">
        <v>4401</v>
      </c>
      <c r="F2383" s="55" t="s">
        <v>267</v>
      </c>
      <c r="G2383" s="55" t="s">
        <v>331</v>
      </c>
      <c r="H2383" s="50" t="s">
        <v>4402</v>
      </c>
    </row>
    <row r="2384" spans="3:8" x14ac:dyDescent="0.2">
      <c r="C2384" s="195">
        <v>44686</v>
      </c>
      <c r="D2384" s="55">
        <v>280</v>
      </c>
      <c r="E2384" s="55" t="s">
        <v>4403</v>
      </c>
      <c r="F2384" s="55" t="s">
        <v>263</v>
      </c>
      <c r="G2384" s="55" t="s">
        <v>3265</v>
      </c>
      <c r="H2384" s="50" t="s">
        <v>4404</v>
      </c>
    </row>
    <row r="2385" spans="1:9" x14ac:dyDescent="0.2">
      <c r="C2385" s="195">
        <v>44708</v>
      </c>
      <c r="D2385" s="55">
        <v>280</v>
      </c>
      <c r="E2385" s="55" t="s">
        <v>4405</v>
      </c>
      <c r="F2385" s="55" t="s">
        <v>263</v>
      </c>
      <c r="G2385" s="55" t="s">
        <v>693</v>
      </c>
      <c r="H2385" s="50" t="s">
        <v>4406</v>
      </c>
    </row>
    <row r="2386" spans="1:9" x14ac:dyDescent="0.2">
      <c r="C2386" s="195">
        <v>44707</v>
      </c>
      <c r="D2386" s="55">
        <v>260</v>
      </c>
      <c r="E2386" s="55" t="s">
        <v>4407</v>
      </c>
      <c r="F2386" s="55" t="s">
        <v>272</v>
      </c>
      <c r="G2386" s="55" t="s">
        <v>3408</v>
      </c>
      <c r="H2386" s="50" t="s">
        <v>4408</v>
      </c>
    </row>
    <row r="2387" spans="1:9" x14ac:dyDescent="0.2">
      <c r="C2387" s="195">
        <v>44685</v>
      </c>
      <c r="D2387" s="55">
        <v>280</v>
      </c>
      <c r="E2387" s="55" t="s">
        <v>4409</v>
      </c>
      <c r="F2387" s="55" t="s">
        <v>192</v>
      </c>
      <c r="G2387" s="55" t="s">
        <v>563</v>
      </c>
      <c r="H2387" s="50" t="s">
        <v>4410</v>
      </c>
    </row>
    <row r="2388" spans="1:9" x14ac:dyDescent="0.2">
      <c r="C2388" s="195">
        <v>44690</v>
      </c>
      <c r="D2388" s="55">
        <v>280</v>
      </c>
      <c r="E2388" s="55" t="s">
        <v>4411</v>
      </c>
      <c r="F2388" s="55" t="s">
        <v>219</v>
      </c>
      <c r="G2388" s="55" t="s">
        <v>223</v>
      </c>
      <c r="H2388" s="50" t="s">
        <v>224</v>
      </c>
    </row>
    <row r="2389" spans="1:9" x14ac:dyDescent="0.2">
      <c r="C2389" s="195">
        <v>44697</v>
      </c>
      <c r="D2389" s="55">
        <v>260</v>
      </c>
      <c r="E2389" s="55" t="s">
        <v>4412</v>
      </c>
      <c r="F2389" s="55" t="s">
        <v>263</v>
      </c>
      <c r="G2389" s="55" t="s">
        <v>633</v>
      </c>
      <c r="H2389" s="50" t="s">
        <v>224</v>
      </c>
    </row>
    <row r="2390" spans="1:9" x14ac:dyDescent="0.2">
      <c r="C2390" s="195">
        <v>44704</v>
      </c>
      <c r="D2390" s="55">
        <v>280</v>
      </c>
      <c r="E2390" s="55" t="s">
        <v>4413</v>
      </c>
      <c r="F2390" s="55" t="s">
        <v>263</v>
      </c>
      <c r="G2390" s="55" t="s">
        <v>633</v>
      </c>
      <c r="H2390" s="50" t="s">
        <v>4414</v>
      </c>
    </row>
    <row r="2391" spans="1:9" x14ac:dyDescent="0.2">
      <c r="A2391" s="57">
        <v>522</v>
      </c>
      <c r="B2391" t="s">
        <v>836</v>
      </c>
      <c r="C2391" s="195">
        <v>44705</v>
      </c>
      <c r="D2391" s="55">
        <v>280</v>
      </c>
      <c r="E2391" s="55" t="s">
        <v>4415</v>
      </c>
      <c r="F2391" s="55" t="s">
        <v>210</v>
      </c>
      <c r="G2391" s="55" t="s">
        <v>211</v>
      </c>
      <c r="H2391" s="50" t="s">
        <v>4416</v>
      </c>
      <c r="I2391" s="46" t="s">
        <v>837</v>
      </c>
    </row>
    <row r="2392" spans="1:9" x14ac:dyDescent="0.2">
      <c r="C2392" s="195">
        <v>44712</v>
      </c>
      <c r="D2392" s="55">
        <v>260</v>
      </c>
      <c r="E2392" s="55" t="s">
        <v>4417</v>
      </c>
      <c r="F2392" s="55" t="s">
        <v>210</v>
      </c>
      <c r="G2392" s="55" t="s">
        <v>496</v>
      </c>
      <c r="H2392" s="50" t="s">
        <v>4418</v>
      </c>
    </row>
    <row r="2393" spans="1:9" x14ac:dyDescent="0.2">
      <c r="C2393" s="195">
        <v>44708</v>
      </c>
      <c r="D2393" s="55">
        <v>280</v>
      </c>
      <c r="E2393" s="55" t="s">
        <v>4419</v>
      </c>
      <c r="F2393" s="55" t="s">
        <v>263</v>
      </c>
      <c r="G2393" s="55" t="s">
        <v>264</v>
      </c>
      <c r="H2393" s="50" t="s">
        <v>4420</v>
      </c>
    </row>
    <row r="2394" spans="1:9" x14ac:dyDescent="0.2">
      <c r="C2394" s="195">
        <v>44687</v>
      </c>
      <c r="D2394" s="55">
        <v>260</v>
      </c>
      <c r="E2394" s="55" t="s">
        <v>4421</v>
      </c>
      <c r="F2394" s="55" t="s">
        <v>263</v>
      </c>
      <c r="G2394" s="55" t="s">
        <v>633</v>
      </c>
      <c r="H2394" s="50" t="s">
        <v>224</v>
      </c>
    </row>
    <row r="2395" spans="1:9" x14ac:dyDescent="0.2">
      <c r="C2395" s="195">
        <v>44693</v>
      </c>
      <c r="D2395" s="55">
        <v>280</v>
      </c>
      <c r="E2395" s="55" t="s">
        <v>4422</v>
      </c>
      <c r="F2395" s="55" t="s">
        <v>263</v>
      </c>
      <c r="G2395" s="55" t="s">
        <v>264</v>
      </c>
      <c r="H2395" s="50" t="s">
        <v>4423</v>
      </c>
    </row>
    <row r="2396" spans="1:9" x14ac:dyDescent="0.2">
      <c r="C2396" s="195">
        <v>44704</v>
      </c>
      <c r="D2396" s="55">
        <v>260</v>
      </c>
      <c r="E2396" s="55" t="s">
        <v>4424</v>
      </c>
      <c r="F2396" s="55" t="s">
        <v>210</v>
      </c>
      <c r="G2396" s="55" t="s">
        <v>883</v>
      </c>
      <c r="H2396" s="50" t="s">
        <v>4425</v>
      </c>
    </row>
    <row r="2397" spans="1:9" x14ac:dyDescent="0.2">
      <c r="C2397" s="195">
        <v>44691</v>
      </c>
      <c r="D2397" s="55">
        <v>280</v>
      </c>
      <c r="E2397" s="55" t="s">
        <v>4426</v>
      </c>
      <c r="F2397" s="55" t="s">
        <v>263</v>
      </c>
      <c r="G2397" s="55" t="s">
        <v>1005</v>
      </c>
      <c r="H2397" s="50" t="s">
        <v>224</v>
      </c>
    </row>
    <row r="2398" spans="1:9" x14ac:dyDescent="0.2">
      <c r="C2398" s="195">
        <v>44712</v>
      </c>
      <c r="D2398" s="55">
        <v>260</v>
      </c>
      <c r="E2398" s="55" t="s">
        <v>4427</v>
      </c>
      <c r="F2398" s="55" t="s">
        <v>267</v>
      </c>
      <c r="G2398" s="55" t="s">
        <v>331</v>
      </c>
    </row>
    <row r="2399" spans="1:9" x14ac:dyDescent="0.2">
      <c r="C2399" s="195">
        <v>44693</v>
      </c>
      <c r="D2399" s="55">
        <v>260</v>
      </c>
      <c r="E2399" s="55" t="s">
        <v>4428</v>
      </c>
      <c r="F2399" s="55" t="s">
        <v>291</v>
      </c>
      <c r="G2399" s="55" t="s">
        <v>643</v>
      </c>
      <c r="H2399" s="50" t="s">
        <v>4429</v>
      </c>
    </row>
    <row r="2400" spans="1:9" x14ac:dyDescent="0.2">
      <c r="A2400" s="57">
        <v>522</v>
      </c>
      <c r="B2400" t="s">
        <v>836</v>
      </c>
      <c r="C2400" s="195">
        <v>44693</v>
      </c>
      <c r="D2400" s="55">
        <v>280</v>
      </c>
      <c r="E2400" s="55" t="s">
        <v>4430</v>
      </c>
      <c r="F2400" s="55" t="s">
        <v>263</v>
      </c>
      <c r="G2400" s="55" t="s">
        <v>579</v>
      </c>
      <c r="H2400" s="50" t="s">
        <v>224</v>
      </c>
      <c r="I2400" s="46" t="s">
        <v>837</v>
      </c>
    </row>
    <row r="2401" spans="1:9" x14ac:dyDescent="0.2">
      <c r="C2401" s="195">
        <v>44708</v>
      </c>
      <c r="D2401" s="55">
        <v>280</v>
      </c>
      <c r="E2401" s="55" t="s">
        <v>4431</v>
      </c>
      <c r="F2401" s="55" t="s">
        <v>267</v>
      </c>
      <c r="G2401" s="55" t="s">
        <v>4098</v>
      </c>
      <c r="H2401" s="50" t="s">
        <v>4432</v>
      </c>
    </row>
    <row r="2402" spans="1:9" x14ac:dyDescent="0.2">
      <c r="C2402" s="195">
        <v>44708</v>
      </c>
      <c r="D2402" s="55">
        <v>260</v>
      </c>
      <c r="E2402" s="55" t="s">
        <v>4433</v>
      </c>
      <c r="F2402" s="55" t="s">
        <v>244</v>
      </c>
      <c r="G2402" s="55" t="s">
        <v>245</v>
      </c>
      <c r="H2402" s="50" t="s">
        <v>4434</v>
      </c>
    </row>
    <row r="2403" spans="1:9" x14ac:dyDescent="0.2">
      <c r="A2403" s="57">
        <v>522</v>
      </c>
      <c r="B2403" t="s">
        <v>836</v>
      </c>
      <c r="C2403" s="195">
        <v>44691</v>
      </c>
      <c r="D2403" s="55">
        <v>280</v>
      </c>
      <c r="E2403" s="55" t="s">
        <v>4435</v>
      </c>
      <c r="F2403" s="55" t="s">
        <v>263</v>
      </c>
      <c r="G2403" s="55" t="s">
        <v>1005</v>
      </c>
      <c r="H2403" s="50" t="s">
        <v>224</v>
      </c>
      <c r="I2403" s="46" t="s">
        <v>837</v>
      </c>
    </row>
    <row r="2404" spans="1:9" x14ac:dyDescent="0.2">
      <c r="C2404" s="195">
        <v>44707</v>
      </c>
      <c r="D2404" s="55">
        <v>280</v>
      </c>
      <c r="E2404" s="55" t="s">
        <v>4436</v>
      </c>
      <c r="F2404" s="55" t="s">
        <v>291</v>
      </c>
      <c r="G2404" s="55" t="s">
        <v>480</v>
      </c>
      <c r="H2404" s="50" t="s">
        <v>4437</v>
      </c>
    </row>
    <row r="2405" spans="1:9" x14ac:dyDescent="0.2">
      <c r="C2405" s="195">
        <v>44700</v>
      </c>
      <c r="D2405" s="55">
        <v>260</v>
      </c>
      <c r="E2405" s="55" t="s">
        <v>4438</v>
      </c>
      <c r="F2405" s="55" t="s">
        <v>263</v>
      </c>
      <c r="G2405" s="55" t="s">
        <v>506</v>
      </c>
      <c r="H2405" s="50" t="s">
        <v>224</v>
      </c>
    </row>
    <row r="2406" spans="1:9" x14ac:dyDescent="0.2">
      <c r="C2406" s="195">
        <v>44684</v>
      </c>
      <c r="D2406" s="55">
        <v>260</v>
      </c>
      <c r="E2406" s="55" t="s">
        <v>4439</v>
      </c>
      <c r="F2406" s="55" t="s">
        <v>202</v>
      </c>
      <c r="G2406" s="55" t="s">
        <v>344</v>
      </c>
      <c r="H2406" s="50" t="s">
        <v>224</v>
      </c>
    </row>
    <row r="2407" spans="1:9" x14ac:dyDescent="0.2">
      <c r="C2407" s="195">
        <v>44687</v>
      </c>
      <c r="D2407" s="55">
        <v>260</v>
      </c>
      <c r="E2407" s="55" t="s">
        <v>4440</v>
      </c>
      <c r="F2407" s="55" t="s">
        <v>231</v>
      </c>
      <c r="G2407" s="55" t="s">
        <v>782</v>
      </c>
      <c r="H2407" s="50" t="s">
        <v>4441</v>
      </c>
    </row>
    <row r="2408" spans="1:9" x14ac:dyDescent="0.2">
      <c r="C2408" s="195">
        <v>44690</v>
      </c>
      <c r="D2408" s="55">
        <v>280</v>
      </c>
      <c r="E2408" s="55" t="s">
        <v>4442</v>
      </c>
      <c r="F2408" s="55" t="s">
        <v>244</v>
      </c>
      <c r="G2408" s="55" t="s">
        <v>696</v>
      </c>
      <c r="H2408" s="50" t="s">
        <v>4443</v>
      </c>
    </row>
    <row r="2409" spans="1:9" x14ac:dyDescent="0.2">
      <c r="C2409" s="195">
        <v>44708</v>
      </c>
      <c r="D2409" s="55">
        <v>260</v>
      </c>
      <c r="E2409" s="55" t="s">
        <v>4444</v>
      </c>
      <c r="F2409" s="55" t="s">
        <v>202</v>
      </c>
      <c r="G2409" s="55" t="s">
        <v>302</v>
      </c>
      <c r="H2409" s="50" t="s">
        <v>4445</v>
      </c>
    </row>
    <row r="2410" spans="1:9" x14ac:dyDescent="0.2">
      <c r="C2410" s="195">
        <v>44707</v>
      </c>
      <c r="D2410" s="55">
        <v>280</v>
      </c>
      <c r="E2410" s="55" t="s">
        <v>4446</v>
      </c>
      <c r="F2410" s="55" t="s">
        <v>231</v>
      </c>
      <c r="G2410" s="55" t="s">
        <v>421</v>
      </c>
      <c r="H2410" s="50" t="s">
        <v>4447</v>
      </c>
    </row>
    <row r="2411" spans="1:9" x14ac:dyDescent="0.2">
      <c r="C2411" s="195">
        <v>44686</v>
      </c>
      <c r="D2411" s="55">
        <v>280</v>
      </c>
      <c r="E2411" s="55" t="s">
        <v>4448</v>
      </c>
      <c r="F2411" s="55" t="s">
        <v>210</v>
      </c>
      <c r="G2411" s="55" t="s">
        <v>2684</v>
      </c>
      <c r="H2411" s="50" t="s">
        <v>4449</v>
      </c>
    </row>
    <row r="2412" spans="1:9" x14ac:dyDescent="0.2">
      <c r="C2412" s="195">
        <v>44698</v>
      </c>
      <c r="D2412" s="55">
        <v>260</v>
      </c>
      <c r="E2412" s="55" t="s">
        <v>4450</v>
      </c>
      <c r="F2412" s="55" t="s">
        <v>219</v>
      </c>
      <c r="G2412" s="55" t="s">
        <v>3710</v>
      </c>
      <c r="H2412" s="50" t="s">
        <v>4451</v>
      </c>
    </row>
    <row r="2413" spans="1:9" x14ac:dyDescent="0.2">
      <c r="C2413" s="195">
        <v>44690</v>
      </c>
      <c r="D2413" s="55">
        <v>280</v>
      </c>
      <c r="E2413" s="55" t="s">
        <v>4452</v>
      </c>
      <c r="F2413" s="55" t="s">
        <v>244</v>
      </c>
      <c r="G2413" s="55" t="s">
        <v>696</v>
      </c>
      <c r="H2413" s="50" t="s">
        <v>4453</v>
      </c>
    </row>
    <row r="2414" spans="1:9" x14ac:dyDescent="0.2">
      <c r="C2414" s="195">
        <v>44698</v>
      </c>
      <c r="D2414" s="55">
        <v>260</v>
      </c>
      <c r="E2414" s="55" t="s">
        <v>4454</v>
      </c>
      <c r="F2414" s="55" t="s">
        <v>267</v>
      </c>
      <c r="G2414" s="55" t="s">
        <v>442</v>
      </c>
    </row>
    <row r="2415" spans="1:9" x14ac:dyDescent="0.2">
      <c r="C2415" s="195">
        <v>44706</v>
      </c>
      <c r="D2415" s="55">
        <v>260</v>
      </c>
      <c r="E2415" s="55" t="s">
        <v>4455</v>
      </c>
      <c r="F2415" s="55" t="s">
        <v>202</v>
      </c>
      <c r="G2415" s="55" t="s">
        <v>344</v>
      </c>
      <c r="H2415" s="50" t="s">
        <v>4456</v>
      </c>
    </row>
    <row r="2416" spans="1:9" x14ac:dyDescent="0.2">
      <c r="C2416" s="195">
        <v>44698</v>
      </c>
      <c r="D2416" s="55">
        <v>260</v>
      </c>
      <c r="E2416" s="55" t="s">
        <v>4457</v>
      </c>
      <c r="F2416" s="55" t="s">
        <v>210</v>
      </c>
      <c r="G2416" s="55" t="s">
        <v>1095</v>
      </c>
      <c r="H2416" s="50" t="s">
        <v>4458</v>
      </c>
    </row>
    <row r="2417" spans="3:8" x14ac:dyDescent="0.2">
      <c r="C2417" s="195">
        <v>44685</v>
      </c>
      <c r="D2417" s="55">
        <v>260</v>
      </c>
      <c r="E2417" s="55" t="s">
        <v>4459</v>
      </c>
      <c r="F2417" s="55" t="s">
        <v>202</v>
      </c>
      <c r="G2417" s="55" t="s">
        <v>1146</v>
      </c>
      <c r="H2417" s="50" t="s">
        <v>4460</v>
      </c>
    </row>
    <row r="2418" spans="3:8" x14ac:dyDescent="0.2">
      <c r="C2418" s="195">
        <v>44712</v>
      </c>
      <c r="D2418" s="55">
        <v>260</v>
      </c>
      <c r="E2418" s="55" t="s">
        <v>4461</v>
      </c>
      <c r="F2418" s="55" t="s">
        <v>231</v>
      </c>
      <c r="G2418" s="55" t="s">
        <v>371</v>
      </c>
      <c r="H2418" s="50" t="s">
        <v>224</v>
      </c>
    </row>
    <row r="2419" spans="3:8" x14ac:dyDescent="0.2">
      <c r="C2419" s="195">
        <v>44690</v>
      </c>
      <c r="D2419" s="55">
        <v>260</v>
      </c>
      <c r="E2419" s="55" t="s">
        <v>4462</v>
      </c>
      <c r="F2419" s="55" t="s">
        <v>210</v>
      </c>
      <c r="G2419" s="55" t="s">
        <v>1572</v>
      </c>
      <c r="H2419" s="50" t="s">
        <v>4463</v>
      </c>
    </row>
    <row r="2420" spans="3:8" x14ac:dyDescent="0.2">
      <c r="C2420" s="195">
        <v>44698</v>
      </c>
      <c r="D2420" s="55">
        <v>260</v>
      </c>
      <c r="E2420" s="55" t="s">
        <v>4464</v>
      </c>
      <c r="F2420" s="55" t="s">
        <v>231</v>
      </c>
      <c r="G2420" s="55" t="s">
        <v>648</v>
      </c>
      <c r="H2420" s="50" t="s">
        <v>4465</v>
      </c>
    </row>
    <row r="2421" spans="3:8" x14ac:dyDescent="0.2">
      <c r="C2421" s="195">
        <v>44712</v>
      </c>
      <c r="D2421" s="55">
        <v>280</v>
      </c>
      <c r="E2421" s="55" t="s">
        <v>4466</v>
      </c>
      <c r="F2421" s="55" t="s">
        <v>206</v>
      </c>
      <c r="G2421" s="55" t="s">
        <v>214</v>
      </c>
      <c r="H2421" s="50" t="s">
        <v>4467</v>
      </c>
    </row>
    <row r="2422" spans="3:8" x14ac:dyDescent="0.2">
      <c r="C2422" s="195">
        <v>44687</v>
      </c>
      <c r="D2422" s="55">
        <v>280</v>
      </c>
      <c r="E2422" s="55" t="s">
        <v>4468</v>
      </c>
      <c r="F2422" s="55" t="s">
        <v>231</v>
      </c>
      <c r="G2422" s="55" t="s">
        <v>232</v>
      </c>
      <c r="H2422" s="50" t="s">
        <v>4469</v>
      </c>
    </row>
    <row r="2423" spans="3:8" x14ac:dyDescent="0.2">
      <c r="C2423" s="195">
        <v>44691</v>
      </c>
      <c r="D2423" s="55">
        <v>280</v>
      </c>
      <c r="E2423" s="55" t="s">
        <v>4470</v>
      </c>
      <c r="F2423" s="55" t="s">
        <v>263</v>
      </c>
      <c r="G2423" s="55" t="s">
        <v>1005</v>
      </c>
      <c r="H2423" s="50" t="s">
        <v>224</v>
      </c>
    </row>
    <row r="2424" spans="3:8" x14ac:dyDescent="0.2">
      <c r="C2424" s="195">
        <v>44706</v>
      </c>
      <c r="D2424" s="55">
        <v>260</v>
      </c>
      <c r="E2424" s="55" t="s">
        <v>4471</v>
      </c>
      <c r="F2424" s="55" t="s">
        <v>244</v>
      </c>
      <c r="G2424" s="55" t="s">
        <v>393</v>
      </c>
      <c r="H2424" s="50" t="s">
        <v>4472</v>
      </c>
    </row>
    <row r="2425" spans="3:8" x14ac:dyDescent="0.2">
      <c r="C2425" s="195">
        <v>44698</v>
      </c>
      <c r="D2425" s="55">
        <v>260</v>
      </c>
      <c r="E2425" s="55" t="s">
        <v>4473</v>
      </c>
      <c r="F2425" s="55" t="s">
        <v>192</v>
      </c>
      <c r="G2425" s="55" t="s">
        <v>640</v>
      </c>
      <c r="H2425" s="50" t="s">
        <v>224</v>
      </c>
    </row>
    <row r="2426" spans="3:8" x14ac:dyDescent="0.2">
      <c r="C2426" s="195">
        <v>44707</v>
      </c>
      <c r="D2426" s="55">
        <v>280</v>
      </c>
      <c r="E2426" s="55" t="s">
        <v>4474</v>
      </c>
      <c r="F2426" s="55" t="s">
        <v>244</v>
      </c>
      <c r="G2426" s="55" t="s">
        <v>4079</v>
      </c>
      <c r="H2426" s="50" t="s">
        <v>4475</v>
      </c>
    </row>
    <row r="2427" spans="3:8" x14ac:dyDescent="0.2">
      <c r="C2427" s="195">
        <v>44693</v>
      </c>
      <c r="D2427" s="55">
        <v>260</v>
      </c>
      <c r="E2427" s="55" t="s">
        <v>4476</v>
      </c>
      <c r="F2427" s="55" t="s">
        <v>390</v>
      </c>
      <c r="G2427" s="55" t="s">
        <v>391</v>
      </c>
      <c r="H2427" s="50" t="s">
        <v>4477</v>
      </c>
    </row>
    <row r="2428" spans="3:8" x14ac:dyDescent="0.2">
      <c r="C2428" s="195">
        <v>44699</v>
      </c>
      <c r="D2428" s="55">
        <v>260</v>
      </c>
      <c r="E2428" s="55" t="s">
        <v>4478</v>
      </c>
      <c r="F2428" s="55" t="s">
        <v>210</v>
      </c>
      <c r="G2428" s="55" t="s">
        <v>883</v>
      </c>
      <c r="H2428" s="50" t="s">
        <v>4479</v>
      </c>
    </row>
    <row r="2429" spans="3:8" x14ac:dyDescent="0.2">
      <c r="C2429" s="195">
        <v>44712</v>
      </c>
      <c r="D2429" s="55">
        <v>260</v>
      </c>
      <c r="E2429" s="55" t="s">
        <v>4480</v>
      </c>
      <c r="F2429" s="55" t="s">
        <v>291</v>
      </c>
      <c r="G2429" s="55" t="s">
        <v>1215</v>
      </c>
      <c r="H2429" s="50" t="s">
        <v>4481</v>
      </c>
    </row>
    <row r="2430" spans="3:8" x14ac:dyDescent="0.2">
      <c r="C2430" s="195">
        <v>44706</v>
      </c>
      <c r="D2430" s="55">
        <v>260</v>
      </c>
      <c r="E2430" s="55" t="s">
        <v>4482</v>
      </c>
      <c r="F2430" s="55" t="s">
        <v>192</v>
      </c>
      <c r="G2430" s="55" t="s">
        <v>193</v>
      </c>
      <c r="H2430" s="50" t="s">
        <v>4483</v>
      </c>
    </row>
    <row r="2431" spans="3:8" x14ac:dyDescent="0.2">
      <c r="C2431" s="195">
        <v>44693</v>
      </c>
      <c r="D2431" s="55">
        <v>280</v>
      </c>
      <c r="E2431" s="55" t="s">
        <v>4484</v>
      </c>
      <c r="F2431" s="55" t="s">
        <v>390</v>
      </c>
      <c r="G2431" s="55" t="s">
        <v>590</v>
      </c>
      <c r="H2431" s="50" t="s">
        <v>4485</v>
      </c>
    </row>
    <row r="2432" spans="3:8" x14ac:dyDescent="0.2">
      <c r="C2432" s="195">
        <v>44701</v>
      </c>
      <c r="D2432" s="55">
        <v>280</v>
      </c>
      <c r="E2432" s="55" t="s">
        <v>4486</v>
      </c>
      <c r="F2432" s="55" t="s">
        <v>263</v>
      </c>
      <c r="G2432" s="55" t="s">
        <v>579</v>
      </c>
      <c r="H2432" s="50" t="s">
        <v>4487</v>
      </c>
    </row>
    <row r="2433" spans="3:8" x14ac:dyDescent="0.2">
      <c r="C2433" s="195">
        <v>44704</v>
      </c>
      <c r="D2433" s="55">
        <v>280</v>
      </c>
      <c r="E2433" s="55" t="s">
        <v>4488</v>
      </c>
      <c r="F2433" s="55" t="s">
        <v>206</v>
      </c>
      <c r="G2433" s="55" t="s">
        <v>214</v>
      </c>
      <c r="H2433" s="50" t="s">
        <v>4489</v>
      </c>
    </row>
    <row r="2434" spans="3:8" x14ac:dyDescent="0.2">
      <c r="C2434" s="195">
        <v>44691</v>
      </c>
      <c r="D2434" s="55">
        <v>280</v>
      </c>
      <c r="E2434" s="55" t="s">
        <v>4490</v>
      </c>
      <c r="F2434" s="55" t="s">
        <v>231</v>
      </c>
      <c r="G2434" s="55" t="s">
        <v>421</v>
      </c>
      <c r="H2434" s="50" t="s">
        <v>4491</v>
      </c>
    </row>
    <row r="2435" spans="3:8" x14ac:dyDescent="0.2">
      <c r="C2435" s="195">
        <v>44693</v>
      </c>
      <c r="D2435" s="55">
        <v>280</v>
      </c>
      <c r="E2435" s="55" t="s">
        <v>4492</v>
      </c>
      <c r="F2435" s="55" t="s">
        <v>390</v>
      </c>
      <c r="G2435" s="55" t="s">
        <v>408</v>
      </c>
    </row>
    <row r="2436" spans="3:8" x14ac:dyDescent="0.2">
      <c r="C2436" s="195">
        <v>44712</v>
      </c>
      <c r="D2436" s="55">
        <v>260</v>
      </c>
      <c r="E2436" s="55" t="s">
        <v>4493</v>
      </c>
      <c r="F2436" s="55" t="s">
        <v>231</v>
      </c>
      <c r="G2436" s="55" t="s">
        <v>371</v>
      </c>
      <c r="H2436" s="50" t="s">
        <v>4494</v>
      </c>
    </row>
    <row r="2437" spans="3:8" x14ac:dyDescent="0.2">
      <c r="C2437" s="195">
        <v>44712</v>
      </c>
      <c r="D2437" s="55">
        <v>280</v>
      </c>
      <c r="E2437" s="55" t="s">
        <v>4495</v>
      </c>
      <c r="F2437" s="55" t="s">
        <v>192</v>
      </c>
      <c r="G2437" s="55" t="s">
        <v>401</v>
      </c>
      <c r="H2437" s="50" t="s">
        <v>4496</v>
      </c>
    </row>
    <row r="2438" spans="3:8" x14ac:dyDescent="0.2">
      <c r="C2438" s="195">
        <v>44686</v>
      </c>
      <c r="D2438" s="55">
        <v>280</v>
      </c>
      <c r="E2438" s="55" t="s">
        <v>4497</v>
      </c>
      <c r="F2438" s="55" t="s">
        <v>390</v>
      </c>
      <c r="G2438" s="55" t="s">
        <v>391</v>
      </c>
      <c r="H2438" s="50" t="s">
        <v>4498</v>
      </c>
    </row>
    <row r="2439" spans="3:8" x14ac:dyDescent="0.2">
      <c r="C2439" s="195">
        <v>44707</v>
      </c>
      <c r="D2439" s="55">
        <v>280</v>
      </c>
      <c r="E2439" s="55" t="s">
        <v>4499</v>
      </c>
      <c r="F2439" s="55" t="s">
        <v>390</v>
      </c>
      <c r="G2439" s="55" t="s">
        <v>922</v>
      </c>
      <c r="H2439" s="50" t="s">
        <v>224</v>
      </c>
    </row>
    <row r="2440" spans="3:8" x14ac:dyDescent="0.2">
      <c r="C2440" s="195">
        <v>44708</v>
      </c>
      <c r="D2440" s="55">
        <v>280</v>
      </c>
      <c r="E2440" s="55" t="s">
        <v>4500</v>
      </c>
      <c r="F2440" s="55" t="s">
        <v>267</v>
      </c>
      <c r="G2440" s="55" t="s">
        <v>708</v>
      </c>
      <c r="H2440" s="50" t="s">
        <v>4501</v>
      </c>
    </row>
    <row r="2441" spans="3:8" x14ac:dyDescent="0.2">
      <c r="C2441" s="195">
        <v>44686</v>
      </c>
      <c r="D2441" s="55">
        <v>280</v>
      </c>
      <c r="E2441" s="55" t="s">
        <v>4502</v>
      </c>
      <c r="F2441" s="55" t="s">
        <v>210</v>
      </c>
      <c r="G2441" s="55" t="s">
        <v>496</v>
      </c>
      <c r="H2441" s="50" t="s">
        <v>4503</v>
      </c>
    </row>
    <row r="2442" spans="3:8" x14ac:dyDescent="0.2">
      <c r="C2442" s="195">
        <v>44698</v>
      </c>
      <c r="D2442" s="55">
        <v>280</v>
      </c>
      <c r="E2442" s="55" t="s">
        <v>4504</v>
      </c>
      <c r="F2442" s="55" t="s">
        <v>231</v>
      </c>
      <c r="G2442" s="55" t="s">
        <v>421</v>
      </c>
    </row>
    <row r="2443" spans="3:8" x14ac:dyDescent="0.2">
      <c r="C2443" s="195">
        <v>44699</v>
      </c>
      <c r="D2443" s="55">
        <v>280</v>
      </c>
      <c r="E2443" s="55" t="s">
        <v>4505</v>
      </c>
      <c r="F2443" s="55" t="s">
        <v>210</v>
      </c>
      <c r="G2443" s="55" t="s">
        <v>496</v>
      </c>
      <c r="H2443" s="50" t="s">
        <v>4506</v>
      </c>
    </row>
    <row r="2444" spans="3:8" x14ac:dyDescent="0.2">
      <c r="C2444" s="195">
        <v>44705</v>
      </c>
      <c r="D2444" s="55">
        <v>280</v>
      </c>
      <c r="E2444" s="55" t="s">
        <v>4507</v>
      </c>
      <c r="F2444" s="55" t="s">
        <v>263</v>
      </c>
      <c r="G2444" s="55" t="s">
        <v>3747</v>
      </c>
      <c r="H2444" s="50" t="s">
        <v>4508</v>
      </c>
    </row>
    <row r="2445" spans="3:8" x14ac:dyDescent="0.2">
      <c r="C2445" s="195">
        <v>44712</v>
      </c>
      <c r="D2445" s="55">
        <v>280</v>
      </c>
      <c r="E2445" s="55" t="s">
        <v>4509</v>
      </c>
      <c r="F2445" s="55" t="s">
        <v>202</v>
      </c>
      <c r="G2445" s="55" t="s">
        <v>203</v>
      </c>
      <c r="H2445" s="50" t="s">
        <v>4510</v>
      </c>
    </row>
    <row r="2446" spans="3:8" x14ac:dyDescent="0.2">
      <c r="C2446" s="195">
        <v>44701</v>
      </c>
      <c r="D2446" s="55">
        <v>260</v>
      </c>
      <c r="E2446" s="55" t="s">
        <v>4511</v>
      </c>
      <c r="F2446" s="55" t="s">
        <v>206</v>
      </c>
      <c r="G2446" s="55" t="s">
        <v>568</v>
      </c>
      <c r="H2446" s="50" t="s">
        <v>4512</v>
      </c>
    </row>
    <row r="2447" spans="3:8" x14ac:dyDescent="0.2">
      <c r="C2447" s="195">
        <v>44701</v>
      </c>
      <c r="D2447" s="55">
        <v>260</v>
      </c>
      <c r="E2447" s="55" t="s">
        <v>4513</v>
      </c>
      <c r="F2447" s="55" t="s">
        <v>206</v>
      </c>
      <c r="G2447" s="55" t="s">
        <v>676</v>
      </c>
      <c r="H2447" s="50" t="s">
        <v>4514</v>
      </c>
    </row>
    <row r="2448" spans="3:8" x14ac:dyDescent="0.2">
      <c r="C2448" s="195">
        <v>44706</v>
      </c>
      <c r="D2448" s="55">
        <v>260</v>
      </c>
      <c r="E2448" s="55" t="s">
        <v>4515</v>
      </c>
      <c r="F2448" s="55" t="s">
        <v>263</v>
      </c>
      <c r="G2448" s="55" t="s">
        <v>633</v>
      </c>
      <c r="H2448" s="50" t="s">
        <v>4516</v>
      </c>
    </row>
    <row r="2449" spans="3:8" x14ac:dyDescent="0.2">
      <c r="C2449" s="195">
        <v>44686</v>
      </c>
      <c r="D2449" s="55">
        <v>280</v>
      </c>
      <c r="E2449" s="55" t="s">
        <v>4517</v>
      </c>
      <c r="F2449" s="55" t="s">
        <v>231</v>
      </c>
      <c r="G2449" s="55" t="s">
        <v>435</v>
      </c>
      <c r="H2449" s="50" t="s">
        <v>4518</v>
      </c>
    </row>
    <row r="2450" spans="3:8" x14ac:dyDescent="0.2">
      <c r="C2450" s="195">
        <v>44694</v>
      </c>
      <c r="D2450" s="55">
        <v>260</v>
      </c>
      <c r="E2450" s="55" t="s">
        <v>4519</v>
      </c>
      <c r="F2450" s="55" t="s">
        <v>196</v>
      </c>
      <c r="G2450" s="55" t="s">
        <v>352</v>
      </c>
      <c r="H2450" s="50" t="s">
        <v>4520</v>
      </c>
    </row>
    <row r="2451" spans="3:8" x14ac:dyDescent="0.2">
      <c r="C2451" s="195">
        <v>44686</v>
      </c>
      <c r="D2451" s="55">
        <v>280</v>
      </c>
      <c r="E2451" s="55" t="s">
        <v>4521</v>
      </c>
      <c r="F2451" s="55" t="s">
        <v>210</v>
      </c>
      <c r="G2451" s="55" t="s">
        <v>1095</v>
      </c>
      <c r="H2451" s="50" t="s">
        <v>4522</v>
      </c>
    </row>
    <row r="2452" spans="3:8" x14ac:dyDescent="0.2">
      <c r="C2452" s="195">
        <v>44712</v>
      </c>
      <c r="D2452" s="55">
        <v>260</v>
      </c>
      <c r="E2452" s="55" t="s">
        <v>4523</v>
      </c>
      <c r="F2452" s="55" t="s">
        <v>231</v>
      </c>
      <c r="G2452" s="55" t="s">
        <v>648</v>
      </c>
      <c r="H2452" s="50" t="s">
        <v>4524</v>
      </c>
    </row>
    <row r="2453" spans="3:8" x14ac:dyDescent="0.2">
      <c r="C2453" s="195">
        <v>44706</v>
      </c>
      <c r="D2453" s="55">
        <v>260</v>
      </c>
      <c r="E2453" s="55" t="s">
        <v>4525</v>
      </c>
      <c r="F2453" s="55" t="s">
        <v>244</v>
      </c>
      <c r="G2453" s="55" t="s">
        <v>393</v>
      </c>
      <c r="H2453" s="50" t="s">
        <v>4526</v>
      </c>
    </row>
    <row r="2454" spans="3:8" x14ac:dyDescent="0.2">
      <c r="C2454" s="195">
        <v>44684</v>
      </c>
      <c r="D2454" s="55">
        <v>280</v>
      </c>
      <c r="E2454" s="55" t="s">
        <v>4527</v>
      </c>
      <c r="F2454" s="55" t="s">
        <v>263</v>
      </c>
      <c r="G2454" s="55" t="s">
        <v>693</v>
      </c>
      <c r="H2454" s="50" t="s">
        <v>224</v>
      </c>
    </row>
    <row r="2455" spans="3:8" x14ac:dyDescent="0.2">
      <c r="C2455" s="195">
        <v>44690</v>
      </c>
      <c r="D2455" s="55">
        <v>260</v>
      </c>
      <c r="E2455" s="55" t="s">
        <v>4528</v>
      </c>
      <c r="F2455" s="55" t="s">
        <v>210</v>
      </c>
      <c r="G2455" s="55" t="s">
        <v>2684</v>
      </c>
    </row>
    <row r="2456" spans="3:8" x14ac:dyDescent="0.2">
      <c r="C2456" s="195">
        <v>44712</v>
      </c>
      <c r="D2456" s="55">
        <v>280</v>
      </c>
      <c r="E2456" s="55" t="s">
        <v>4529</v>
      </c>
      <c r="F2456" s="55" t="s">
        <v>291</v>
      </c>
      <c r="G2456" s="55" t="s">
        <v>2723</v>
      </c>
      <c r="H2456" s="50" t="s">
        <v>4530</v>
      </c>
    </row>
    <row r="2457" spans="3:8" x14ac:dyDescent="0.2">
      <c r="C2457" s="195">
        <v>44708</v>
      </c>
      <c r="D2457" s="55">
        <v>260</v>
      </c>
      <c r="E2457" s="55" t="s">
        <v>4531</v>
      </c>
      <c r="F2457" s="55" t="s">
        <v>210</v>
      </c>
      <c r="G2457" s="55" t="s">
        <v>496</v>
      </c>
      <c r="H2457" s="50" t="s">
        <v>4532</v>
      </c>
    </row>
    <row r="2458" spans="3:8" x14ac:dyDescent="0.2">
      <c r="C2458" s="195">
        <v>44701</v>
      </c>
      <c r="D2458" s="55">
        <v>260</v>
      </c>
      <c r="E2458" s="55" t="s">
        <v>4533</v>
      </c>
      <c r="F2458" s="55" t="s">
        <v>263</v>
      </c>
      <c r="G2458" s="55" t="s">
        <v>264</v>
      </c>
      <c r="H2458" s="50" t="s">
        <v>4534</v>
      </c>
    </row>
    <row r="2459" spans="3:8" x14ac:dyDescent="0.2">
      <c r="C2459" s="195">
        <v>44683</v>
      </c>
      <c r="D2459" s="55">
        <v>280</v>
      </c>
      <c r="E2459" s="55" t="s">
        <v>4535</v>
      </c>
      <c r="F2459" s="55" t="s">
        <v>244</v>
      </c>
      <c r="G2459" s="55" t="s">
        <v>696</v>
      </c>
      <c r="H2459" s="50" t="s">
        <v>224</v>
      </c>
    </row>
    <row r="2460" spans="3:8" x14ac:dyDescent="0.2">
      <c r="C2460" s="195">
        <v>44691</v>
      </c>
      <c r="D2460" s="55">
        <v>280</v>
      </c>
      <c r="E2460" s="55" t="s">
        <v>4536</v>
      </c>
      <c r="F2460" s="55" t="s">
        <v>231</v>
      </c>
      <c r="G2460" s="55" t="s">
        <v>232</v>
      </c>
      <c r="H2460" s="50" t="s">
        <v>4537</v>
      </c>
    </row>
    <row r="2461" spans="3:8" x14ac:dyDescent="0.2">
      <c r="C2461" s="195">
        <v>44686</v>
      </c>
      <c r="D2461" s="55">
        <v>280</v>
      </c>
      <c r="E2461" s="55" t="s">
        <v>4538</v>
      </c>
      <c r="F2461" s="55" t="s">
        <v>231</v>
      </c>
      <c r="G2461" s="55" t="s">
        <v>435</v>
      </c>
      <c r="H2461" s="50" t="s">
        <v>4539</v>
      </c>
    </row>
    <row r="2462" spans="3:8" x14ac:dyDescent="0.2">
      <c r="C2462" s="195">
        <v>44694</v>
      </c>
      <c r="D2462" s="55">
        <v>260</v>
      </c>
      <c r="E2462" s="55" t="s">
        <v>4540</v>
      </c>
      <c r="F2462" s="55" t="s">
        <v>196</v>
      </c>
      <c r="G2462" s="55" t="s">
        <v>352</v>
      </c>
      <c r="H2462" s="50" t="s">
        <v>4541</v>
      </c>
    </row>
    <row r="2463" spans="3:8" x14ac:dyDescent="0.2">
      <c r="C2463" s="195">
        <v>44684</v>
      </c>
      <c r="D2463" s="55">
        <v>280</v>
      </c>
      <c r="E2463" s="55" t="s">
        <v>4542</v>
      </c>
      <c r="F2463" s="55" t="s">
        <v>390</v>
      </c>
      <c r="G2463" s="55" t="s">
        <v>922</v>
      </c>
      <c r="H2463" s="50" t="s">
        <v>224</v>
      </c>
    </row>
    <row r="2464" spans="3:8" x14ac:dyDescent="0.2">
      <c r="C2464" s="195">
        <v>44687</v>
      </c>
      <c r="D2464" s="55">
        <v>280</v>
      </c>
      <c r="E2464" s="55" t="s">
        <v>4543</v>
      </c>
      <c r="F2464" s="55" t="s">
        <v>390</v>
      </c>
      <c r="G2464" s="55" t="s">
        <v>590</v>
      </c>
      <c r="H2464" s="50" t="s">
        <v>4544</v>
      </c>
    </row>
    <row r="2465" spans="1:9" x14ac:dyDescent="0.2">
      <c r="C2465" s="195">
        <v>44706</v>
      </c>
      <c r="D2465" s="55">
        <v>260</v>
      </c>
      <c r="E2465" s="55" t="s">
        <v>4545</v>
      </c>
      <c r="F2465" s="55" t="s">
        <v>244</v>
      </c>
      <c r="G2465" s="55" t="s">
        <v>245</v>
      </c>
      <c r="H2465" s="50" t="s">
        <v>4546</v>
      </c>
    </row>
    <row r="2466" spans="1:9" x14ac:dyDescent="0.2">
      <c r="C2466" s="195">
        <v>44683</v>
      </c>
      <c r="D2466" s="55">
        <v>260</v>
      </c>
      <c r="E2466" s="55" t="s">
        <v>4547</v>
      </c>
      <c r="F2466" s="55" t="s">
        <v>231</v>
      </c>
      <c r="G2466" s="55" t="s">
        <v>255</v>
      </c>
      <c r="H2466" s="50" t="s">
        <v>4548</v>
      </c>
    </row>
    <row r="2467" spans="1:9" x14ac:dyDescent="0.2">
      <c r="C2467" s="195">
        <v>44706</v>
      </c>
      <c r="D2467" s="55">
        <v>260</v>
      </c>
      <c r="E2467" s="55" t="s">
        <v>4549</v>
      </c>
      <c r="F2467" s="55" t="s">
        <v>244</v>
      </c>
      <c r="G2467" s="55" t="s">
        <v>393</v>
      </c>
      <c r="H2467" s="50" t="s">
        <v>4550</v>
      </c>
    </row>
    <row r="2468" spans="1:9" x14ac:dyDescent="0.2">
      <c r="C2468" s="195">
        <v>44705</v>
      </c>
      <c r="D2468" s="55">
        <v>280</v>
      </c>
      <c r="E2468" s="55" t="s">
        <v>4551</v>
      </c>
      <c r="F2468" s="55" t="s">
        <v>291</v>
      </c>
      <c r="G2468" s="55" t="s">
        <v>2723</v>
      </c>
    </row>
    <row r="2469" spans="1:9" x14ac:dyDescent="0.2">
      <c r="C2469" s="195">
        <v>44701</v>
      </c>
      <c r="D2469" s="55">
        <v>260</v>
      </c>
      <c r="E2469" s="55" t="s">
        <v>4552</v>
      </c>
      <c r="F2469" s="55" t="s">
        <v>196</v>
      </c>
      <c r="G2469" s="55" t="s">
        <v>645</v>
      </c>
      <c r="H2469" s="50" t="s">
        <v>4553</v>
      </c>
    </row>
    <row r="2470" spans="1:9" x14ac:dyDescent="0.2">
      <c r="A2470" s="57">
        <v>522</v>
      </c>
      <c r="B2470" t="s">
        <v>836</v>
      </c>
      <c r="C2470" s="195">
        <v>44684</v>
      </c>
      <c r="D2470" s="55">
        <v>260</v>
      </c>
      <c r="E2470" s="55" t="s">
        <v>4554</v>
      </c>
      <c r="F2470" s="55" t="s">
        <v>263</v>
      </c>
      <c r="G2470" s="55" t="s">
        <v>506</v>
      </c>
      <c r="H2470" s="50" t="s">
        <v>224</v>
      </c>
      <c r="I2470" s="46" t="s">
        <v>837</v>
      </c>
    </row>
    <row r="2471" spans="1:9" x14ac:dyDescent="0.2">
      <c r="C2471" s="195">
        <v>44694</v>
      </c>
      <c r="D2471" s="55">
        <v>260</v>
      </c>
      <c r="E2471" s="55" t="s">
        <v>4555</v>
      </c>
      <c r="F2471" s="55" t="s">
        <v>390</v>
      </c>
      <c r="G2471" s="55" t="s">
        <v>656</v>
      </c>
      <c r="H2471" s="50" t="s">
        <v>4556</v>
      </c>
    </row>
    <row r="2472" spans="1:9" x14ac:dyDescent="0.2">
      <c r="C2472" s="195">
        <v>44687</v>
      </c>
      <c r="D2472" s="55">
        <v>260</v>
      </c>
      <c r="E2472" s="55" t="s">
        <v>4557</v>
      </c>
      <c r="F2472" s="55" t="s">
        <v>196</v>
      </c>
      <c r="G2472" s="55" t="s">
        <v>352</v>
      </c>
      <c r="H2472" s="50" t="s">
        <v>4558</v>
      </c>
    </row>
    <row r="2473" spans="1:9" x14ac:dyDescent="0.2">
      <c r="C2473" s="195">
        <v>44708</v>
      </c>
      <c r="D2473" s="55">
        <v>260</v>
      </c>
      <c r="E2473" s="55" t="s">
        <v>4559</v>
      </c>
      <c r="F2473" s="55" t="s">
        <v>202</v>
      </c>
      <c r="G2473" s="55" t="s">
        <v>321</v>
      </c>
      <c r="H2473" s="50" t="s">
        <v>4560</v>
      </c>
    </row>
    <row r="2474" spans="1:9" x14ac:dyDescent="0.2">
      <c r="C2474" s="195">
        <v>44700</v>
      </c>
      <c r="D2474" s="55">
        <v>260</v>
      </c>
      <c r="E2474" s="55" t="s">
        <v>4561</v>
      </c>
      <c r="F2474" s="55" t="s">
        <v>210</v>
      </c>
      <c r="G2474" s="55" t="s">
        <v>235</v>
      </c>
      <c r="H2474" s="50" t="s">
        <v>4562</v>
      </c>
    </row>
    <row r="2475" spans="1:9" x14ac:dyDescent="0.2">
      <c r="C2475" s="195">
        <v>44684</v>
      </c>
      <c r="D2475" s="55">
        <v>280</v>
      </c>
      <c r="E2475" s="55" t="s">
        <v>4563</v>
      </c>
      <c r="F2475" s="55" t="s">
        <v>192</v>
      </c>
      <c r="G2475" s="55" t="s">
        <v>563</v>
      </c>
      <c r="H2475" s="50" t="s">
        <v>4564</v>
      </c>
    </row>
    <row r="2476" spans="1:9" x14ac:dyDescent="0.2">
      <c r="C2476" s="195">
        <v>44693</v>
      </c>
      <c r="D2476" s="55">
        <v>260</v>
      </c>
      <c r="E2476" s="55" t="s">
        <v>4565</v>
      </c>
      <c r="F2476" s="55" t="s">
        <v>219</v>
      </c>
      <c r="G2476" s="55" t="s">
        <v>1732</v>
      </c>
      <c r="H2476" s="50" t="s">
        <v>224</v>
      </c>
    </row>
    <row r="2477" spans="1:9" x14ac:dyDescent="0.2">
      <c r="C2477" s="195">
        <v>44706</v>
      </c>
      <c r="D2477" s="55">
        <v>280</v>
      </c>
      <c r="E2477" s="55" t="s">
        <v>4566</v>
      </c>
      <c r="F2477" s="55" t="s">
        <v>244</v>
      </c>
      <c r="G2477" s="55" t="s">
        <v>294</v>
      </c>
      <c r="H2477" s="50" t="s">
        <v>4567</v>
      </c>
    </row>
    <row r="2478" spans="1:9" x14ac:dyDescent="0.2">
      <c r="C2478" s="195">
        <v>44685</v>
      </c>
      <c r="D2478" s="55">
        <v>280</v>
      </c>
      <c r="E2478" s="55" t="s">
        <v>4568</v>
      </c>
      <c r="F2478" s="55" t="s">
        <v>192</v>
      </c>
      <c r="G2478" s="55" t="s">
        <v>563</v>
      </c>
      <c r="H2478" s="50" t="s">
        <v>224</v>
      </c>
    </row>
    <row r="2479" spans="1:9" x14ac:dyDescent="0.2">
      <c r="C2479" s="195">
        <v>44708</v>
      </c>
      <c r="D2479" s="55">
        <v>280</v>
      </c>
      <c r="E2479" s="55" t="s">
        <v>4569</v>
      </c>
      <c r="F2479" s="55" t="s">
        <v>219</v>
      </c>
      <c r="G2479" s="55" t="s">
        <v>451</v>
      </c>
      <c r="H2479" s="50" t="s">
        <v>224</v>
      </c>
    </row>
    <row r="2480" spans="1:9" x14ac:dyDescent="0.2">
      <c r="C2480" s="195">
        <v>44708</v>
      </c>
      <c r="D2480" s="55">
        <v>280</v>
      </c>
      <c r="E2480" s="55" t="s">
        <v>4570</v>
      </c>
      <c r="F2480" s="55" t="s">
        <v>390</v>
      </c>
      <c r="G2480" s="55" t="s">
        <v>590</v>
      </c>
      <c r="H2480" s="50" t="s">
        <v>4571</v>
      </c>
    </row>
    <row r="2481" spans="1:9" x14ac:dyDescent="0.2">
      <c r="C2481" s="195">
        <v>44705</v>
      </c>
      <c r="D2481" s="55">
        <v>260</v>
      </c>
      <c r="E2481" s="55" t="s">
        <v>4572</v>
      </c>
      <c r="F2481" s="55" t="s">
        <v>219</v>
      </c>
      <c r="G2481" s="55" t="s">
        <v>223</v>
      </c>
      <c r="H2481" s="50" t="s">
        <v>4573</v>
      </c>
    </row>
    <row r="2482" spans="1:9" x14ac:dyDescent="0.2">
      <c r="C2482" s="195">
        <v>44707</v>
      </c>
      <c r="D2482" s="55">
        <v>260</v>
      </c>
      <c r="E2482" s="55" t="s">
        <v>4574</v>
      </c>
      <c r="F2482" s="55" t="s">
        <v>244</v>
      </c>
      <c r="G2482" s="55" t="s">
        <v>245</v>
      </c>
      <c r="H2482" s="50" t="s">
        <v>4575</v>
      </c>
    </row>
    <row r="2483" spans="1:9" x14ac:dyDescent="0.2">
      <c r="C2483" s="195">
        <v>44701</v>
      </c>
      <c r="D2483" s="55">
        <v>280</v>
      </c>
      <c r="E2483" s="55" t="s">
        <v>4576</v>
      </c>
      <c r="F2483" s="55" t="s">
        <v>244</v>
      </c>
      <c r="G2483" s="55" t="s">
        <v>1468</v>
      </c>
      <c r="H2483" s="50" t="s">
        <v>4577</v>
      </c>
    </row>
    <row r="2484" spans="1:9" x14ac:dyDescent="0.2">
      <c r="C2484" s="195">
        <v>44694</v>
      </c>
      <c r="D2484" s="55">
        <v>260</v>
      </c>
      <c r="E2484" s="55" t="s">
        <v>4578</v>
      </c>
      <c r="F2484" s="55" t="s">
        <v>206</v>
      </c>
      <c r="G2484" s="55" t="s">
        <v>758</v>
      </c>
      <c r="H2484" s="50" t="s">
        <v>4579</v>
      </c>
    </row>
    <row r="2485" spans="1:9" x14ac:dyDescent="0.2">
      <c r="C2485" s="195">
        <v>44687</v>
      </c>
      <c r="D2485" s="55">
        <v>280</v>
      </c>
      <c r="E2485" s="55" t="s">
        <v>4580</v>
      </c>
      <c r="F2485" s="55" t="s">
        <v>272</v>
      </c>
      <c r="G2485" s="55" t="s">
        <v>3408</v>
      </c>
      <c r="H2485" s="50" t="s">
        <v>4581</v>
      </c>
    </row>
    <row r="2486" spans="1:9" x14ac:dyDescent="0.2">
      <c r="C2486" s="195">
        <v>44694</v>
      </c>
      <c r="D2486" s="55">
        <v>280</v>
      </c>
      <c r="E2486" s="55" t="s">
        <v>4582</v>
      </c>
      <c r="F2486" s="55" t="s">
        <v>231</v>
      </c>
      <c r="G2486" s="55" t="s">
        <v>3096</v>
      </c>
      <c r="H2486" s="50" t="s">
        <v>4583</v>
      </c>
    </row>
    <row r="2487" spans="1:9" x14ac:dyDescent="0.2">
      <c r="C2487" s="195">
        <v>44701</v>
      </c>
      <c r="D2487" s="55">
        <v>280</v>
      </c>
      <c r="E2487" s="55" t="s">
        <v>4584</v>
      </c>
      <c r="F2487" s="55" t="s">
        <v>231</v>
      </c>
      <c r="G2487" s="55" t="s">
        <v>3096</v>
      </c>
      <c r="H2487" s="50" t="s">
        <v>4585</v>
      </c>
    </row>
    <row r="2488" spans="1:9" x14ac:dyDescent="0.2">
      <c r="C2488" s="195">
        <v>44683</v>
      </c>
      <c r="D2488" s="55">
        <v>280</v>
      </c>
      <c r="E2488" s="55" t="s">
        <v>4586</v>
      </c>
      <c r="F2488" s="55" t="s">
        <v>210</v>
      </c>
      <c r="G2488" s="55" t="s">
        <v>235</v>
      </c>
      <c r="H2488" s="50" t="s">
        <v>4587</v>
      </c>
    </row>
    <row r="2489" spans="1:9" x14ac:dyDescent="0.2">
      <c r="A2489" s="57">
        <v>522</v>
      </c>
      <c r="B2489" t="s">
        <v>836</v>
      </c>
      <c r="C2489" s="195">
        <v>44704</v>
      </c>
      <c r="D2489" s="55">
        <v>280</v>
      </c>
      <c r="E2489" s="55" t="s">
        <v>4588</v>
      </c>
      <c r="F2489" s="55" t="s">
        <v>231</v>
      </c>
      <c r="G2489" s="55" t="s">
        <v>232</v>
      </c>
      <c r="H2489" s="50" t="s">
        <v>4589</v>
      </c>
      <c r="I2489" s="46" t="s">
        <v>837</v>
      </c>
    </row>
    <row r="2490" spans="1:9" x14ac:dyDescent="0.2">
      <c r="C2490" s="195">
        <v>44693</v>
      </c>
      <c r="D2490" s="55">
        <v>280</v>
      </c>
      <c r="E2490" s="55" t="s">
        <v>4590</v>
      </c>
      <c r="F2490" s="55" t="s">
        <v>202</v>
      </c>
      <c r="G2490" s="55" t="s">
        <v>2033</v>
      </c>
      <c r="H2490" s="50" t="s">
        <v>4591</v>
      </c>
    </row>
    <row r="2491" spans="1:9" x14ac:dyDescent="0.2">
      <c r="C2491" s="195">
        <v>44712</v>
      </c>
      <c r="D2491" s="55">
        <v>280</v>
      </c>
      <c r="E2491" s="55" t="s">
        <v>4592</v>
      </c>
      <c r="F2491" s="55" t="s">
        <v>219</v>
      </c>
      <c r="G2491" s="55" t="s">
        <v>220</v>
      </c>
      <c r="H2491" s="50" t="s">
        <v>224</v>
      </c>
    </row>
    <row r="2492" spans="1:9" x14ac:dyDescent="0.2">
      <c r="C2492" s="195">
        <v>44692</v>
      </c>
      <c r="D2492" s="55">
        <v>280</v>
      </c>
      <c r="E2492" s="55" t="s">
        <v>4593</v>
      </c>
      <c r="F2492" s="55" t="s">
        <v>231</v>
      </c>
      <c r="G2492" s="55" t="s">
        <v>421</v>
      </c>
      <c r="H2492" s="50" t="s">
        <v>4594</v>
      </c>
    </row>
    <row r="2493" spans="1:9" x14ac:dyDescent="0.2">
      <c r="C2493" s="195">
        <v>44704</v>
      </c>
      <c r="D2493" s="55">
        <v>260</v>
      </c>
      <c r="E2493" s="55" t="s">
        <v>4595</v>
      </c>
      <c r="F2493" s="55" t="s">
        <v>263</v>
      </c>
      <c r="G2493" s="55" t="s">
        <v>264</v>
      </c>
      <c r="H2493" s="50" t="s">
        <v>4596</v>
      </c>
    </row>
    <row r="2494" spans="1:9" x14ac:dyDescent="0.2">
      <c r="C2494" s="195">
        <v>44693</v>
      </c>
      <c r="D2494" s="55">
        <v>260</v>
      </c>
      <c r="E2494" s="55" t="s">
        <v>4597</v>
      </c>
      <c r="F2494" s="55" t="s">
        <v>219</v>
      </c>
      <c r="G2494" s="55" t="s">
        <v>540</v>
      </c>
      <c r="H2494" s="50" t="s">
        <v>4598</v>
      </c>
    </row>
    <row r="2495" spans="1:9" x14ac:dyDescent="0.2">
      <c r="C2495" s="195">
        <v>44686</v>
      </c>
      <c r="D2495" s="55">
        <v>280</v>
      </c>
      <c r="E2495" s="55" t="s">
        <v>4599</v>
      </c>
      <c r="F2495" s="55" t="s">
        <v>231</v>
      </c>
      <c r="G2495" s="55" t="s">
        <v>3096</v>
      </c>
      <c r="H2495" s="50" t="s">
        <v>4600</v>
      </c>
    </row>
    <row r="2496" spans="1:9" x14ac:dyDescent="0.2">
      <c r="C2496" s="195">
        <v>44712</v>
      </c>
      <c r="D2496" s="55">
        <v>260</v>
      </c>
      <c r="E2496" s="55" t="s">
        <v>4601</v>
      </c>
      <c r="F2496" s="55" t="s">
        <v>272</v>
      </c>
      <c r="G2496" s="55" t="s">
        <v>683</v>
      </c>
      <c r="H2496" s="50" t="s">
        <v>4602</v>
      </c>
    </row>
    <row r="2497" spans="1:9" x14ac:dyDescent="0.2">
      <c r="C2497" s="195">
        <v>44694</v>
      </c>
      <c r="D2497" s="55">
        <v>280</v>
      </c>
      <c r="E2497" s="55" t="s">
        <v>4603</v>
      </c>
      <c r="F2497" s="55" t="s">
        <v>390</v>
      </c>
      <c r="G2497" s="55" t="s">
        <v>590</v>
      </c>
      <c r="H2497" s="50" t="s">
        <v>4604</v>
      </c>
    </row>
    <row r="2498" spans="1:9" x14ac:dyDescent="0.2">
      <c r="C2498" s="195">
        <v>44687</v>
      </c>
      <c r="D2498" s="55">
        <v>280</v>
      </c>
      <c r="E2498" s="55" t="s">
        <v>4605</v>
      </c>
      <c r="F2498" s="55" t="s">
        <v>219</v>
      </c>
      <c r="G2498" s="55" t="s">
        <v>451</v>
      </c>
      <c r="H2498" s="50" t="s">
        <v>4606</v>
      </c>
    </row>
    <row r="2499" spans="1:9" x14ac:dyDescent="0.2">
      <c r="C2499" s="195">
        <v>44708</v>
      </c>
      <c r="D2499" s="55">
        <v>260</v>
      </c>
      <c r="E2499" s="55" t="s">
        <v>4607</v>
      </c>
      <c r="F2499" s="55" t="s">
        <v>390</v>
      </c>
      <c r="G2499" s="55" t="s">
        <v>779</v>
      </c>
      <c r="H2499" s="50" t="s">
        <v>4608</v>
      </c>
    </row>
    <row r="2500" spans="1:9" x14ac:dyDescent="0.2">
      <c r="C2500" s="195">
        <v>44685</v>
      </c>
      <c r="D2500" s="55">
        <v>280</v>
      </c>
      <c r="E2500" s="55" t="s">
        <v>4609</v>
      </c>
      <c r="F2500" s="55" t="s">
        <v>231</v>
      </c>
      <c r="G2500" s="55" t="s">
        <v>435</v>
      </c>
      <c r="H2500" s="50" t="s">
        <v>4610</v>
      </c>
    </row>
    <row r="2501" spans="1:9" x14ac:dyDescent="0.2">
      <c r="C2501" s="195">
        <v>44687</v>
      </c>
      <c r="D2501" s="55">
        <v>280</v>
      </c>
      <c r="E2501" s="55" t="s">
        <v>4611</v>
      </c>
      <c r="F2501" s="55" t="s">
        <v>263</v>
      </c>
      <c r="G2501" s="55" t="s">
        <v>579</v>
      </c>
      <c r="H2501" s="50" t="s">
        <v>4612</v>
      </c>
    </row>
    <row r="2502" spans="1:9" x14ac:dyDescent="0.2">
      <c r="C2502" s="195">
        <v>44697</v>
      </c>
      <c r="D2502" s="55">
        <v>260</v>
      </c>
      <c r="E2502" s="55" t="s">
        <v>4613</v>
      </c>
      <c r="F2502" s="55" t="s">
        <v>231</v>
      </c>
      <c r="G2502" s="55" t="s">
        <v>232</v>
      </c>
      <c r="H2502" s="50" t="s">
        <v>4614</v>
      </c>
    </row>
    <row r="2503" spans="1:9" x14ac:dyDescent="0.2">
      <c r="C2503" s="195">
        <v>44698</v>
      </c>
      <c r="D2503" s="55">
        <v>280</v>
      </c>
      <c r="E2503" s="55" t="s">
        <v>4615</v>
      </c>
      <c r="F2503" s="55" t="s">
        <v>210</v>
      </c>
      <c r="G2503" s="55" t="s">
        <v>418</v>
      </c>
      <c r="H2503" s="50" t="s">
        <v>4616</v>
      </c>
    </row>
    <row r="2504" spans="1:9" x14ac:dyDescent="0.2">
      <c r="C2504" s="195">
        <v>44693</v>
      </c>
      <c r="D2504" s="55">
        <v>260</v>
      </c>
      <c r="E2504" s="55" t="s">
        <v>4617</v>
      </c>
      <c r="F2504" s="55" t="s">
        <v>244</v>
      </c>
      <c r="G2504" s="55" t="s">
        <v>378</v>
      </c>
      <c r="H2504" s="50" t="s">
        <v>4618</v>
      </c>
    </row>
    <row r="2505" spans="1:9" x14ac:dyDescent="0.2">
      <c r="C2505" s="195">
        <v>44686</v>
      </c>
      <c r="D2505" s="55">
        <v>260</v>
      </c>
      <c r="E2505" s="55" t="s">
        <v>4619</v>
      </c>
      <c r="F2505" s="55" t="s">
        <v>231</v>
      </c>
      <c r="G2505" s="55" t="s">
        <v>421</v>
      </c>
      <c r="H2505" s="50" t="s">
        <v>4620</v>
      </c>
    </row>
    <row r="2506" spans="1:9" x14ac:dyDescent="0.2">
      <c r="C2506" s="195">
        <v>44690</v>
      </c>
      <c r="D2506" s="55">
        <v>280</v>
      </c>
      <c r="E2506" s="55" t="s">
        <v>4621</v>
      </c>
      <c r="F2506" s="55" t="s">
        <v>210</v>
      </c>
      <c r="G2506" s="55" t="s">
        <v>235</v>
      </c>
      <c r="H2506" s="50" t="s">
        <v>4622</v>
      </c>
    </row>
    <row r="2507" spans="1:9" x14ac:dyDescent="0.2">
      <c r="C2507" s="195">
        <v>44687</v>
      </c>
      <c r="D2507" s="55">
        <v>280</v>
      </c>
      <c r="E2507" s="55" t="s">
        <v>4623</v>
      </c>
      <c r="F2507" s="55" t="s">
        <v>231</v>
      </c>
      <c r="G2507" s="55" t="s">
        <v>435</v>
      </c>
      <c r="H2507" s="50" t="s">
        <v>4624</v>
      </c>
    </row>
    <row r="2508" spans="1:9" x14ac:dyDescent="0.2">
      <c r="C2508" s="195">
        <v>44687</v>
      </c>
      <c r="D2508" s="55">
        <v>260</v>
      </c>
      <c r="E2508" s="55" t="s">
        <v>4625</v>
      </c>
      <c r="F2508" s="55" t="s">
        <v>263</v>
      </c>
      <c r="G2508" s="55" t="s">
        <v>506</v>
      </c>
      <c r="H2508" s="50" t="s">
        <v>4626</v>
      </c>
    </row>
    <row r="2509" spans="1:9" x14ac:dyDescent="0.2">
      <c r="C2509" s="195">
        <v>44712</v>
      </c>
      <c r="D2509" s="55">
        <v>260</v>
      </c>
      <c r="E2509" s="55" t="s">
        <v>4627</v>
      </c>
      <c r="F2509" s="55" t="s">
        <v>231</v>
      </c>
      <c r="G2509" s="55" t="s">
        <v>232</v>
      </c>
      <c r="H2509" s="50" t="s">
        <v>4628</v>
      </c>
    </row>
    <row r="2510" spans="1:9" x14ac:dyDescent="0.2">
      <c r="C2510" s="195">
        <v>44684</v>
      </c>
      <c r="D2510" s="55">
        <v>280</v>
      </c>
      <c r="E2510" s="55" t="s">
        <v>4629</v>
      </c>
      <c r="F2510" s="55" t="s">
        <v>231</v>
      </c>
      <c r="G2510" s="55" t="s">
        <v>371</v>
      </c>
      <c r="H2510" s="50" t="s">
        <v>4630</v>
      </c>
    </row>
    <row r="2511" spans="1:9" x14ac:dyDescent="0.2">
      <c r="A2511" s="57">
        <v>522</v>
      </c>
      <c r="B2511" t="s">
        <v>836</v>
      </c>
      <c r="C2511" s="195">
        <v>44708</v>
      </c>
      <c r="D2511" s="55">
        <v>280</v>
      </c>
      <c r="E2511" s="55" t="s">
        <v>4631</v>
      </c>
      <c r="F2511" s="55" t="s">
        <v>390</v>
      </c>
      <c r="G2511" s="55" t="s">
        <v>870</v>
      </c>
      <c r="H2511" s="50" t="s">
        <v>4632</v>
      </c>
      <c r="I2511" s="46" t="s">
        <v>837</v>
      </c>
    </row>
    <row r="2512" spans="1:9" x14ac:dyDescent="0.2">
      <c r="C2512" s="195">
        <v>44691</v>
      </c>
      <c r="D2512" s="55">
        <v>260</v>
      </c>
      <c r="E2512" s="55" t="s">
        <v>4633</v>
      </c>
      <c r="F2512" s="55" t="s">
        <v>263</v>
      </c>
      <c r="G2512" s="55" t="s">
        <v>426</v>
      </c>
      <c r="H2512" s="50" t="s">
        <v>4634</v>
      </c>
    </row>
    <row r="2513" spans="1:62" x14ac:dyDescent="0.2">
      <c r="C2513" s="195">
        <v>44690</v>
      </c>
      <c r="D2513" s="55">
        <v>280</v>
      </c>
      <c r="E2513" s="55" t="s">
        <v>4635</v>
      </c>
      <c r="F2513" s="55" t="s">
        <v>272</v>
      </c>
      <c r="G2513" s="55" t="s">
        <v>3408</v>
      </c>
      <c r="H2513" s="50" t="s">
        <v>4636</v>
      </c>
    </row>
    <row r="2514" spans="1:62" x14ac:dyDescent="0.2">
      <c r="C2514" s="195">
        <v>44692</v>
      </c>
      <c r="D2514" s="55">
        <v>280</v>
      </c>
      <c r="E2514" s="55" t="s">
        <v>4637</v>
      </c>
      <c r="F2514" s="55" t="s">
        <v>231</v>
      </c>
      <c r="G2514" s="55" t="s">
        <v>255</v>
      </c>
      <c r="H2514" s="50" t="s">
        <v>4638</v>
      </c>
    </row>
    <row r="2515" spans="1:62" x14ac:dyDescent="0.2">
      <c r="C2515" s="195">
        <v>44697</v>
      </c>
      <c r="D2515" s="55">
        <v>260</v>
      </c>
      <c r="E2515" s="55" t="s">
        <v>4639</v>
      </c>
      <c r="F2515" s="55" t="s">
        <v>231</v>
      </c>
      <c r="G2515" s="55" t="s">
        <v>232</v>
      </c>
      <c r="H2515" s="50" t="s">
        <v>224</v>
      </c>
    </row>
    <row r="2516" spans="1:62" x14ac:dyDescent="0.2">
      <c r="C2516" s="195">
        <v>44690</v>
      </c>
      <c r="D2516" s="55">
        <v>280</v>
      </c>
      <c r="E2516" s="55" t="s">
        <v>4640</v>
      </c>
      <c r="F2516" s="55" t="s">
        <v>390</v>
      </c>
      <c r="G2516" s="55" t="s">
        <v>408</v>
      </c>
      <c r="H2516" s="50" t="s">
        <v>4641</v>
      </c>
    </row>
    <row r="2517" spans="1:62" x14ac:dyDescent="0.2">
      <c r="C2517" s="195">
        <v>44694</v>
      </c>
      <c r="D2517" s="55">
        <v>280</v>
      </c>
      <c r="E2517" s="55" t="s">
        <v>4642</v>
      </c>
      <c r="F2517" s="55" t="s">
        <v>390</v>
      </c>
      <c r="G2517" s="55" t="s">
        <v>590</v>
      </c>
      <c r="H2517" s="50" t="s">
        <v>4643</v>
      </c>
    </row>
    <row r="2518" spans="1:62" x14ac:dyDescent="0.2">
      <c r="C2518" s="195">
        <v>44687</v>
      </c>
      <c r="D2518" s="55">
        <v>280</v>
      </c>
      <c r="E2518" s="55" t="s">
        <v>4644</v>
      </c>
      <c r="F2518" s="55" t="s">
        <v>231</v>
      </c>
      <c r="G2518" s="55" t="s">
        <v>232</v>
      </c>
      <c r="H2518" s="50" t="s">
        <v>4645</v>
      </c>
    </row>
    <row r="2519" spans="1:62" x14ac:dyDescent="0.2">
      <c r="C2519" s="195">
        <v>44700</v>
      </c>
      <c r="D2519" s="55">
        <v>260</v>
      </c>
      <c r="E2519" s="55" t="s">
        <v>4646</v>
      </c>
      <c r="F2519" s="55" t="s">
        <v>390</v>
      </c>
      <c r="G2519" s="55" t="s">
        <v>671</v>
      </c>
      <c r="H2519" s="50" t="s">
        <v>4647</v>
      </c>
    </row>
    <row r="2520" spans="1:62" x14ac:dyDescent="0.2">
      <c r="C2520" s="195">
        <v>44708</v>
      </c>
      <c r="D2520" s="55">
        <v>280</v>
      </c>
      <c r="E2520" s="55" t="s">
        <v>4648</v>
      </c>
      <c r="F2520" s="55" t="s">
        <v>390</v>
      </c>
      <c r="G2520" s="55" t="s">
        <v>590</v>
      </c>
      <c r="H2520" s="50" t="s">
        <v>224</v>
      </c>
    </row>
    <row r="2521" spans="1:62" x14ac:dyDescent="0.2">
      <c r="C2521" s="195">
        <v>44708</v>
      </c>
      <c r="D2521" s="55">
        <v>260</v>
      </c>
      <c r="E2521" s="55" t="s">
        <v>4649</v>
      </c>
      <c r="F2521" s="55" t="s">
        <v>390</v>
      </c>
      <c r="G2521" s="55" t="s">
        <v>590</v>
      </c>
      <c r="H2521" s="50" t="s">
        <v>4650</v>
      </c>
    </row>
    <row r="2522" spans="1:62" x14ac:dyDescent="0.2">
      <c r="C2522" s="195">
        <v>44706</v>
      </c>
      <c r="D2522" s="55">
        <v>280</v>
      </c>
      <c r="E2522" s="55" t="s">
        <v>4651</v>
      </c>
      <c r="F2522" s="55" t="s">
        <v>196</v>
      </c>
      <c r="G2522" s="55" t="s">
        <v>349</v>
      </c>
      <c r="H2522" s="50" t="s">
        <v>4652</v>
      </c>
    </row>
    <row r="2523" spans="1:62" x14ac:dyDescent="0.2">
      <c r="A2523" s="57">
        <v>522</v>
      </c>
      <c r="B2523" s="162" t="s">
        <v>836</v>
      </c>
      <c r="C2523" s="195">
        <v>44704</v>
      </c>
      <c r="D2523" s="55">
        <v>260</v>
      </c>
      <c r="E2523" s="55" t="s">
        <v>4653</v>
      </c>
      <c r="F2523" s="55" t="s">
        <v>263</v>
      </c>
      <c r="G2523" s="55" t="s">
        <v>995</v>
      </c>
      <c r="I2523" s="46" t="s">
        <v>839</v>
      </c>
      <c r="J2523" s="52">
        <v>1</v>
      </c>
      <c r="K2523" s="52">
        <v>1</v>
      </c>
      <c r="O2523" s="1">
        <v>1</v>
      </c>
      <c r="S2523" s="1">
        <v>1</v>
      </c>
      <c r="W2523" s="1">
        <v>1</v>
      </c>
      <c r="AA2523" s="1">
        <v>1</v>
      </c>
      <c r="AG2523">
        <v>1</v>
      </c>
      <c r="AM2523">
        <v>4</v>
      </c>
      <c r="AS2523">
        <v>4</v>
      </c>
      <c r="AT2523">
        <v>1</v>
      </c>
      <c r="AU2523">
        <v>1</v>
      </c>
      <c r="AZ2523">
        <v>1</v>
      </c>
      <c r="BA2523">
        <v>1</v>
      </c>
      <c r="BB2523">
        <v>1</v>
      </c>
      <c r="BC2523">
        <v>1</v>
      </c>
      <c r="BD2523">
        <v>1</v>
      </c>
      <c r="BE2523">
        <v>1</v>
      </c>
      <c r="BJ2523">
        <v>1</v>
      </c>
    </row>
    <row r="2524" spans="1:62" x14ac:dyDescent="0.2">
      <c r="A2524" s="57">
        <v>522</v>
      </c>
      <c r="B2524" t="s">
        <v>836</v>
      </c>
      <c r="C2524" s="195">
        <v>44697</v>
      </c>
      <c r="D2524" s="55">
        <v>260</v>
      </c>
      <c r="E2524" s="55" t="s">
        <v>4654</v>
      </c>
      <c r="F2524" s="55" t="s">
        <v>263</v>
      </c>
      <c r="G2524" s="55" t="s">
        <v>413</v>
      </c>
      <c r="H2524" s="50" t="s">
        <v>224</v>
      </c>
      <c r="I2524" s="46" t="s">
        <v>837</v>
      </c>
    </row>
    <row r="2525" spans="1:62" x14ac:dyDescent="0.2">
      <c r="C2525" s="195">
        <v>44697</v>
      </c>
      <c r="D2525" s="55">
        <v>260</v>
      </c>
      <c r="E2525" s="55" t="s">
        <v>4655</v>
      </c>
      <c r="F2525" s="55" t="s">
        <v>267</v>
      </c>
      <c r="G2525" s="55" t="s">
        <v>442</v>
      </c>
      <c r="H2525" s="50" t="s">
        <v>4656</v>
      </c>
    </row>
    <row r="2526" spans="1:62" x14ac:dyDescent="0.2">
      <c r="C2526" s="195">
        <v>44684</v>
      </c>
      <c r="D2526" s="55">
        <v>280</v>
      </c>
      <c r="E2526" s="55" t="s">
        <v>4657</v>
      </c>
      <c r="F2526" s="55" t="s">
        <v>210</v>
      </c>
      <c r="G2526" s="55" t="s">
        <v>508</v>
      </c>
      <c r="H2526" s="50" t="s">
        <v>4658</v>
      </c>
    </row>
    <row r="2527" spans="1:62" x14ac:dyDescent="0.2">
      <c r="C2527" s="195">
        <v>44692</v>
      </c>
      <c r="D2527" s="55">
        <v>280</v>
      </c>
      <c r="E2527" s="55" t="s">
        <v>4659</v>
      </c>
      <c r="F2527" s="55" t="s">
        <v>390</v>
      </c>
      <c r="G2527" s="55" t="s">
        <v>408</v>
      </c>
      <c r="H2527" s="50" t="s">
        <v>4660</v>
      </c>
    </row>
    <row r="2528" spans="1:62" x14ac:dyDescent="0.2">
      <c r="C2528" s="195">
        <v>44684</v>
      </c>
      <c r="D2528" s="55">
        <v>280</v>
      </c>
      <c r="E2528" s="55" t="s">
        <v>4661</v>
      </c>
      <c r="F2528" s="55" t="s">
        <v>210</v>
      </c>
      <c r="G2528" s="55" t="s">
        <v>508</v>
      </c>
      <c r="H2528" s="50" t="s">
        <v>224</v>
      </c>
    </row>
    <row r="2529" spans="1:62" x14ac:dyDescent="0.2">
      <c r="C2529" s="195">
        <v>44712</v>
      </c>
      <c r="D2529" s="55">
        <v>280</v>
      </c>
      <c r="E2529" s="55" t="s">
        <v>4662</v>
      </c>
      <c r="F2529" s="55" t="s">
        <v>210</v>
      </c>
      <c r="G2529" s="55" t="s">
        <v>1572</v>
      </c>
      <c r="H2529" s="50" t="s">
        <v>4663</v>
      </c>
    </row>
    <row r="2530" spans="1:62" x14ac:dyDescent="0.2">
      <c r="C2530" s="195">
        <v>44687</v>
      </c>
      <c r="D2530" s="55">
        <v>260</v>
      </c>
      <c r="E2530" s="55" t="s">
        <v>4664</v>
      </c>
      <c r="F2530" s="55" t="s">
        <v>210</v>
      </c>
      <c r="G2530" s="55" t="s">
        <v>496</v>
      </c>
      <c r="H2530" s="50" t="s">
        <v>4665</v>
      </c>
    </row>
    <row r="2531" spans="1:62" x14ac:dyDescent="0.2">
      <c r="A2531" s="57">
        <v>522</v>
      </c>
      <c r="B2531" t="s">
        <v>836</v>
      </c>
      <c r="C2531" s="195">
        <v>44704</v>
      </c>
      <c r="D2531" s="55">
        <v>260</v>
      </c>
      <c r="E2531" s="55" t="s">
        <v>4666</v>
      </c>
      <c r="F2531" s="55" t="s">
        <v>210</v>
      </c>
      <c r="G2531" s="55" t="s">
        <v>211</v>
      </c>
      <c r="H2531" s="50" t="s">
        <v>224</v>
      </c>
      <c r="I2531" s="46" t="s">
        <v>837</v>
      </c>
    </row>
    <row r="2532" spans="1:62" x14ac:dyDescent="0.2">
      <c r="C2532" s="195">
        <v>44684</v>
      </c>
      <c r="D2532" s="55">
        <v>280</v>
      </c>
      <c r="E2532" s="55" t="s">
        <v>4667</v>
      </c>
      <c r="F2532" s="55" t="s">
        <v>263</v>
      </c>
      <c r="G2532" s="55" t="s">
        <v>3747</v>
      </c>
      <c r="H2532" s="50" t="s">
        <v>4668</v>
      </c>
    </row>
    <row r="2533" spans="1:62" x14ac:dyDescent="0.2">
      <c r="C2533" s="195">
        <v>44684</v>
      </c>
      <c r="D2533" s="55">
        <v>280</v>
      </c>
      <c r="E2533" s="55" t="s">
        <v>4669</v>
      </c>
      <c r="F2533" s="55" t="s">
        <v>272</v>
      </c>
      <c r="G2533" s="55" t="s">
        <v>3408</v>
      </c>
      <c r="H2533" s="50" t="s">
        <v>4670</v>
      </c>
    </row>
    <row r="2534" spans="1:62" x14ac:dyDescent="0.2">
      <c r="C2534" s="195">
        <v>44690</v>
      </c>
      <c r="D2534" s="55">
        <v>260</v>
      </c>
      <c r="E2534" s="55" t="s">
        <v>4671</v>
      </c>
      <c r="F2534" s="55" t="s">
        <v>210</v>
      </c>
      <c r="G2534" s="55" t="s">
        <v>883</v>
      </c>
      <c r="H2534" s="50" t="s">
        <v>4672</v>
      </c>
    </row>
    <row r="2535" spans="1:62" x14ac:dyDescent="0.2">
      <c r="C2535" s="195">
        <v>44712</v>
      </c>
      <c r="D2535" s="55">
        <v>280</v>
      </c>
      <c r="E2535" s="55" t="s">
        <v>4673</v>
      </c>
      <c r="F2535" s="55" t="s">
        <v>272</v>
      </c>
      <c r="G2535" s="55" t="s">
        <v>683</v>
      </c>
      <c r="H2535" s="50" t="s">
        <v>224</v>
      </c>
    </row>
    <row r="2536" spans="1:62" x14ac:dyDescent="0.2">
      <c r="C2536" s="195">
        <v>44698</v>
      </c>
      <c r="D2536" s="55">
        <v>280</v>
      </c>
      <c r="E2536" s="55" t="s">
        <v>4674</v>
      </c>
      <c r="F2536" s="55" t="s">
        <v>231</v>
      </c>
      <c r="G2536" s="55" t="s">
        <v>3965</v>
      </c>
      <c r="H2536" s="50" t="s">
        <v>4675</v>
      </c>
    </row>
    <row r="2537" spans="1:62" x14ac:dyDescent="0.2">
      <c r="C2537" s="195">
        <v>44712</v>
      </c>
      <c r="D2537" s="55">
        <v>280</v>
      </c>
      <c r="E2537" s="55" t="s">
        <v>4676</v>
      </c>
      <c r="F2537" s="55" t="s">
        <v>263</v>
      </c>
      <c r="G2537" s="55" t="s">
        <v>3747</v>
      </c>
      <c r="H2537" s="50" t="s">
        <v>224</v>
      </c>
    </row>
    <row r="2538" spans="1:62" x14ac:dyDescent="0.2">
      <c r="C2538" s="195">
        <v>44701</v>
      </c>
      <c r="D2538" s="55">
        <v>280</v>
      </c>
      <c r="E2538" s="55" t="s">
        <v>4677</v>
      </c>
      <c r="F2538" s="55" t="s">
        <v>231</v>
      </c>
      <c r="G2538" s="55" t="s">
        <v>3096</v>
      </c>
      <c r="H2538" s="50" t="s">
        <v>4678</v>
      </c>
    </row>
    <row r="2539" spans="1:62" x14ac:dyDescent="0.2">
      <c r="C2539" s="195">
        <v>44694</v>
      </c>
      <c r="D2539" s="55">
        <v>260</v>
      </c>
      <c r="E2539" s="55" t="s">
        <v>4679</v>
      </c>
      <c r="F2539" s="55" t="s">
        <v>272</v>
      </c>
      <c r="G2539" s="55" t="s">
        <v>683</v>
      </c>
      <c r="H2539" s="50" t="s">
        <v>4680</v>
      </c>
    </row>
    <row r="2540" spans="1:62" x14ac:dyDescent="0.2">
      <c r="A2540" s="57">
        <v>522</v>
      </c>
      <c r="B2540" s="162" t="s">
        <v>836</v>
      </c>
      <c r="C2540" s="195">
        <v>44693</v>
      </c>
      <c r="D2540" s="55">
        <v>260</v>
      </c>
      <c r="E2540" s="55" t="s">
        <v>4681</v>
      </c>
      <c r="F2540" s="55" t="s">
        <v>390</v>
      </c>
      <c r="G2540" s="55" t="s">
        <v>408</v>
      </c>
      <c r="I2540" s="46" t="s">
        <v>839</v>
      </c>
      <c r="J2540" s="52">
        <v>1</v>
      </c>
      <c r="K2540" s="52">
        <v>1</v>
      </c>
      <c r="O2540" s="1">
        <v>1</v>
      </c>
      <c r="S2540" s="1">
        <v>1</v>
      </c>
      <c r="W2540" s="1">
        <v>1</v>
      </c>
      <c r="AA2540" s="1">
        <v>1</v>
      </c>
      <c r="AG2540">
        <v>1</v>
      </c>
      <c r="AM2540">
        <v>2</v>
      </c>
      <c r="AN2540">
        <v>3</v>
      </c>
      <c r="AO2540">
        <v>3</v>
      </c>
      <c r="AP2540">
        <v>1</v>
      </c>
      <c r="AQ2540">
        <v>3</v>
      </c>
      <c r="AR2540">
        <v>3</v>
      </c>
      <c r="AS2540">
        <v>4</v>
      </c>
      <c r="AT2540">
        <v>1</v>
      </c>
      <c r="AU2540">
        <v>1</v>
      </c>
      <c r="AZ2540">
        <v>1</v>
      </c>
      <c r="BA2540">
        <v>1</v>
      </c>
      <c r="BB2540">
        <v>1</v>
      </c>
      <c r="BC2540">
        <v>3</v>
      </c>
      <c r="BD2540">
        <v>1</v>
      </c>
      <c r="BE2540">
        <v>1</v>
      </c>
      <c r="BJ2540">
        <v>1</v>
      </c>
    </row>
    <row r="2541" spans="1:62" x14ac:dyDescent="0.2">
      <c r="C2541" s="195">
        <v>44690</v>
      </c>
      <c r="D2541" s="55">
        <v>280</v>
      </c>
      <c r="E2541" s="55" t="s">
        <v>4682</v>
      </c>
      <c r="F2541" s="55" t="s">
        <v>231</v>
      </c>
      <c r="G2541" s="55" t="s">
        <v>3965</v>
      </c>
      <c r="H2541" s="50" t="s">
        <v>4683</v>
      </c>
    </row>
    <row r="2542" spans="1:62" x14ac:dyDescent="0.2">
      <c r="C2542" s="195">
        <v>44684</v>
      </c>
      <c r="D2542" s="55">
        <v>280</v>
      </c>
      <c r="E2542" s="55" t="s">
        <v>4684</v>
      </c>
      <c r="F2542" s="55" t="s">
        <v>210</v>
      </c>
      <c r="G2542" s="55" t="s">
        <v>383</v>
      </c>
    </row>
    <row r="2543" spans="1:62" x14ac:dyDescent="0.2">
      <c r="C2543" s="195">
        <v>44705</v>
      </c>
      <c r="D2543" s="55">
        <v>260</v>
      </c>
      <c r="E2543" s="55" t="s">
        <v>4685</v>
      </c>
      <c r="F2543" s="55" t="s">
        <v>206</v>
      </c>
      <c r="G2543" s="55" t="s">
        <v>207</v>
      </c>
    </row>
    <row r="2544" spans="1:62" x14ac:dyDescent="0.2">
      <c r="C2544" s="195">
        <v>44686</v>
      </c>
      <c r="D2544" s="55">
        <v>260</v>
      </c>
      <c r="E2544" s="55" t="s">
        <v>4686</v>
      </c>
      <c r="F2544" s="55" t="s">
        <v>192</v>
      </c>
      <c r="G2544" s="55" t="s">
        <v>258</v>
      </c>
      <c r="H2544" s="50" t="s">
        <v>4687</v>
      </c>
    </row>
    <row r="2545" spans="1:9" x14ac:dyDescent="0.2">
      <c r="C2545" s="195">
        <v>44687</v>
      </c>
      <c r="D2545" s="55">
        <v>280</v>
      </c>
      <c r="E2545" s="55" t="s">
        <v>4688</v>
      </c>
      <c r="F2545" s="55" t="s">
        <v>263</v>
      </c>
      <c r="G2545" s="55" t="s">
        <v>579</v>
      </c>
      <c r="H2545" s="50" t="s">
        <v>4689</v>
      </c>
    </row>
    <row r="2546" spans="1:9" x14ac:dyDescent="0.2">
      <c r="C2546" s="195">
        <v>44694</v>
      </c>
      <c r="D2546" s="55">
        <v>280</v>
      </c>
      <c r="E2546" s="55" t="s">
        <v>4690</v>
      </c>
      <c r="F2546" s="55" t="s">
        <v>231</v>
      </c>
      <c r="G2546" s="55" t="s">
        <v>782</v>
      </c>
      <c r="H2546" s="50" t="s">
        <v>4691</v>
      </c>
    </row>
    <row r="2547" spans="1:9" x14ac:dyDescent="0.2">
      <c r="C2547" s="195">
        <v>44712</v>
      </c>
      <c r="D2547" s="55">
        <v>260</v>
      </c>
      <c r="E2547" s="55" t="s">
        <v>4692</v>
      </c>
      <c r="F2547" s="55" t="s">
        <v>390</v>
      </c>
      <c r="G2547" s="55" t="s">
        <v>779</v>
      </c>
      <c r="H2547" s="50" t="s">
        <v>4693</v>
      </c>
    </row>
    <row r="2548" spans="1:9" x14ac:dyDescent="0.2">
      <c r="C2548" s="195">
        <v>44700</v>
      </c>
      <c r="D2548" s="55">
        <v>260</v>
      </c>
      <c r="E2548" s="55" t="s">
        <v>4694</v>
      </c>
      <c r="F2548" s="55" t="s">
        <v>231</v>
      </c>
      <c r="G2548" s="55" t="s">
        <v>255</v>
      </c>
      <c r="H2548" s="50" t="s">
        <v>4695</v>
      </c>
    </row>
    <row r="2549" spans="1:9" x14ac:dyDescent="0.2">
      <c r="C2549" s="195">
        <v>44705</v>
      </c>
      <c r="D2549" s="55">
        <v>260</v>
      </c>
      <c r="E2549" s="55" t="s">
        <v>4696</v>
      </c>
      <c r="F2549" s="55" t="s">
        <v>196</v>
      </c>
      <c r="G2549" s="55" t="s">
        <v>645</v>
      </c>
    </row>
    <row r="2550" spans="1:9" x14ac:dyDescent="0.2">
      <c r="C2550" s="195">
        <v>44690</v>
      </c>
      <c r="D2550" s="55">
        <v>260</v>
      </c>
      <c r="E2550" s="55" t="s">
        <v>4697</v>
      </c>
      <c r="F2550" s="55" t="s">
        <v>210</v>
      </c>
      <c r="G2550" s="55" t="s">
        <v>2684</v>
      </c>
      <c r="H2550" s="50" t="s">
        <v>4698</v>
      </c>
    </row>
    <row r="2551" spans="1:9" x14ac:dyDescent="0.2">
      <c r="C2551" s="195">
        <v>44707</v>
      </c>
      <c r="D2551" s="55">
        <v>260</v>
      </c>
      <c r="E2551" s="55" t="s">
        <v>4699</v>
      </c>
      <c r="F2551" s="55" t="s">
        <v>192</v>
      </c>
      <c r="G2551" s="55" t="s">
        <v>487</v>
      </c>
      <c r="H2551" s="50" t="s">
        <v>4700</v>
      </c>
    </row>
    <row r="2552" spans="1:9" x14ac:dyDescent="0.2">
      <c r="C2552" s="195">
        <v>44697</v>
      </c>
      <c r="D2552" s="55">
        <v>280</v>
      </c>
      <c r="E2552" s="55" t="s">
        <v>4701</v>
      </c>
      <c r="F2552" s="55" t="s">
        <v>291</v>
      </c>
      <c r="G2552" s="55" t="s">
        <v>643</v>
      </c>
      <c r="H2552" s="50" t="s">
        <v>224</v>
      </c>
    </row>
    <row r="2553" spans="1:9" x14ac:dyDescent="0.2">
      <c r="C2553" s="195">
        <v>44706</v>
      </c>
      <c r="D2553" s="55">
        <v>260</v>
      </c>
      <c r="E2553" s="55" t="s">
        <v>4702</v>
      </c>
      <c r="F2553" s="55" t="s">
        <v>192</v>
      </c>
      <c r="G2553" s="55" t="s">
        <v>401</v>
      </c>
      <c r="H2553" s="50" t="s">
        <v>224</v>
      </c>
    </row>
    <row r="2554" spans="1:9" x14ac:dyDescent="0.2">
      <c r="A2554" s="57">
        <v>522</v>
      </c>
      <c r="B2554" t="s">
        <v>836</v>
      </c>
      <c r="C2554" s="195">
        <v>44684</v>
      </c>
      <c r="D2554" s="55">
        <v>280</v>
      </c>
      <c r="E2554" s="55" t="s">
        <v>4703</v>
      </c>
      <c r="F2554" s="55" t="s">
        <v>202</v>
      </c>
      <c r="G2554" s="55" t="s">
        <v>344</v>
      </c>
      <c r="H2554" s="50" t="s">
        <v>224</v>
      </c>
      <c r="I2554" s="46" t="s">
        <v>837</v>
      </c>
    </row>
    <row r="2555" spans="1:9" x14ac:dyDescent="0.2">
      <c r="C2555" s="195">
        <v>44685</v>
      </c>
      <c r="D2555" s="55">
        <v>280</v>
      </c>
      <c r="E2555" s="55" t="s">
        <v>4704</v>
      </c>
      <c r="F2555" s="55" t="s">
        <v>231</v>
      </c>
      <c r="G2555" s="55" t="s">
        <v>435</v>
      </c>
      <c r="H2555" s="50" t="s">
        <v>4705</v>
      </c>
    </row>
    <row r="2556" spans="1:9" x14ac:dyDescent="0.2">
      <c r="C2556" s="195">
        <v>44705</v>
      </c>
      <c r="D2556" s="55">
        <v>280</v>
      </c>
      <c r="E2556" s="55" t="s">
        <v>4706</v>
      </c>
      <c r="F2556" s="55" t="s">
        <v>202</v>
      </c>
      <c r="G2556" s="55" t="s">
        <v>2033</v>
      </c>
      <c r="H2556" s="50" t="s">
        <v>4707</v>
      </c>
    </row>
    <row r="2557" spans="1:9" x14ac:dyDescent="0.2">
      <c r="C2557" s="195">
        <v>44712</v>
      </c>
      <c r="D2557" s="55">
        <v>280</v>
      </c>
      <c r="E2557" s="55" t="s">
        <v>4708</v>
      </c>
      <c r="F2557" s="55" t="s">
        <v>244</v>
      </c>
      <c r="G2557" s="55" t="s">
        <v>393</v>
      </c>
      <c r="H2557" s="50" t="s">
        <v>4709</v>
      </c>
    </row>
    <row r="2558" spans="1:9" x14ac:dyDescent="0.2">
      <c r="C2558" s="195">
        <v>44686</v>
      </c>
      <c r="D2558" s="55">
        <v>280</v>
      </c>
      <c r="E2558" s="55" t="s">
        <v>4710</v>
      </c>
      <c r="F2558" s="55" t="s">
        <v>263</v>
      </c>
      <c r="G2558" s="55" t="s">
        <v>3747</v>
      </c>
      <c r="H2558" s="50" t="s">
        <v>4711</v>
      </c>
    </row>
    <row r="2559" spans="1:9" x14ac:dyDescent="0.2">
      <c r="C2559" s="195">
        <v>44712</v>
      </c>
      <c r="D2559" s="55">
        <v>260</v>
      </c>
      <c r="E2559" s="55" t="s">
        <v>4712</v>
      </c>
      <c r="F2559" s="55" t="s">
        <v>291</v>
      </c>
      <c r="G2559" s="55" t="s">
        <v>819</v>
      </c>
      <c r="H2559" s="50" t="s">
        <v>4713</v>
      </c>
    </row>
    <row r="2560" spans="1:9" x14ac:dyDescent="0.2">
      <c r="C2560" s="195">
        <v>44712</v>
      </c>
      <c r="D2560" s="55">
        <v>280</v>
      </c>
      <c r="E2560" s="55" t="s">
        <v>4714</v>
      </c>
      <c r="F2560" s="55" t="s">
        <v>196</v>
      </c>
      <c r="G2560" s="55" t="s">
        <v>645</v>
      </c>
      <c r="H2560" s="50" t="s">
        <v>4715</v>
      </c>
    </row>
    <row r="2561" spans="3:8" x14ac:dyDescent="0.2">
      <c r="C2561" s="195">
        <v>44684</v>
      </c>
      <c r="D2561" s="55">
        <v>280</v>
      </c>
      <c r="E2561" s="55" t="s">
        <v>4716</v>
      </c>
      <c r="F2561" s="55" t="s">
        <v>263</v>
      </c>
      <c r="G2561" s="55" t="s">
        <v>3747</v>
      </c>
      <c r="H2561" s="50" t="s">
        <v>4717</v>
      </c>
    </row>
    <row r="2562" spans="3:8" x14ac:dyDescent="0.2">
      <c r="C2562" s="195">
        <v>44706</v>
      </c>
      <c r="D2562" s="55">
        <v>280</v>
      </c>
      <c r="E2562" s="55" t="s">
        <v>4718</v>
      </c>
      <c r="F2562" s="55" t="s">
        <v>390</v>
      </c>
      <c r="G2562" s="55" t="s">
        <v>490</v>
      </c>
      <c r="H2562" s="50" t="s">
        <v>4719</v>
      </c>
    </row>
    <row r="2563" spans="3:8" x14ac:dyDescent="0.2">
      <c r="C2563" s="195">
        <v>44708</v>
      </c>
      <c r="D2563" s="55">
        <v>280</v>
      </c>
      <c r="E2563" s="55" t="s">
        <v>4720</v>
      </c>
      <c r="F2563" s="55" t="s">
        <v>219</v>
      </c>
      <c r="G2563" s="55" t="s">
        <v>3710</v>
      </c>
      <c r="H2563" s="50" t="s">
        <v>4721</v>
      </c>
    </row>
    <row r="2564" spans="3:8" x14ac:dyDescent="0.2">
      <c r="C2564" s="195">
        <v>44705</v>
      </c>
      <c r="D2564" s="55">
        <v>280</v>
      </c>
      <c r="E2564" s="55" t="s">
        <v>4722</v>
      </c>
      <c r="F2564" s="55" t="s">
        <v>390</v>
      </c>
      <c r="G2564" s="55" t="s">
        <v>490</v>
      </c>
      <c r="H2564" s="50" t="s">
        <v>4723</v>
      </c>
    </row>
    <row r="2565" spans="3:8" x14ac:dyDescent="0.2">
      <c r="C2565" s="195">
        <v>44706</v>
      </c>
      <c r="D2565" s="55">
        <v>280</v>
      </c>
      <c r="E2565" s="55" t="s">
        <v>4724</v>
      </c>
      <c r="F2565" s="55" t="s">
        <v>263</v>
      </c>
      <c r="G2565" s="55" t="s">
        <v>3747</v>
      </c>
      <c r="H2565" s="50" t="s">
        <v>4725</v>
      </c>
    </row>
    <row r="2566" spans="3:8" x14ac:dyDescent="0.2">
      <c r="C2566" s="195">
        <v>44697</v>
      </c>
      <c r="D2566" s="55">
        <v>260</v>
      </c>
      <c r="E2566" s="55" t="s">
        <v>4726</v>
      </c>
      <c r="F2566" s="55" t="s">
        <v>231</v>
      </c>
      <c r="G2566" s="55" t="s">
        <v>232</v>
      </c>
      <c r="H2566" s="50" t="s">
        <v>4727</v>
      </c>
    </row>
    <row r="2567" spans="3:8" x14ac:dyDescent="0.2">
      <c r="C2567" s="195">
        <v>44697</v>
      </c>
      <c r="D2567" s="55">
        <v>280</v>
      </c>
      <c r="E2567" s="55" t="s">
        <v>4728</v>
      </c>
      <c r="F2567" s="55" t="s">
        <v>272</v>
      </c>
      <c r="G2567" s="55" t="s">
        <v>683</v>
      </c>
      <c r="H2567" s="50" t="s">
        <v>4729</v>
      </c>
    </row>
    <row r="2568" spans="3:8" x14ac:dyDescent="0.2">
      <c r="C2568" s="195">
        <v>44704</v>
      </c>
      <c r="D2568" s="55">
        <v>280</v>
      </c>
      <c r="E2568" s="55" t="s">
        <v>4730</v>
      </c>
      <c r="F2568" s="55" t="s">
        <v>231</v>
      </c>
      <c r="G2568" s="55" t="s">
        <v>232</v>
      </c>
    </row>
    <row r="2569" spans="3:8" x14ac:dyDescent="0.2">
      <c r="C2569" s="195">
        <v>44708</v>
      </c>
      <c r="D2569" s="55">
        <v>280</v>
      </c>
      <c r="E2569" s="55" t="s">
        <v>4731</v>
      </c>
      <c r="F2569" s="55" t="s">
        <v>263</v>
      </c>
      <c r="G2569" s="55" t="s">
        <v>264</v>
      </c>
      <c r="H2569" s="50" t="s">
        <v>4732</v>
      </c>
    </row>
    <row r="2570" spans="3:8" x14ac:dyDescent="0.2">
      <c r="C2570" s="195">
        <v>44693</v>
      </c>
      <c r="D2570" s="55">
        <v>280</v>
      </c>
      <c r="E2570" s="55" t="s">
        <v>4733</v>
      </c>
      <c r="F2570" s="55" t="s">
        <v>390</v>
      </c>
      <c r="G2570" s="55" t="s">
        <v>408</v>
      </c>
      <c r="H2570" s="50" t="s">
        <v>4734</v>
      </c>
    </row>
    <row r="2571" spans="3:8" x14ac:dyDescent="0.2">
      <c r="C2571" s="195">
        <v>44687</v>
      </c>
      <c r="D2571" s="55">
        <v>260</v>
      </c>
      <c r="E2571" s="55" t="s">
        <v>4735</v>
      </c>
      <c r="F2571" s="55" t="s">
        <v>263</v>
      </c>
      <c r="G2571" s="55" t="s">
        <v>892</v>
      </c>
      <c r="H2571" s="50" t="s">
        <v>224</v>
      </c>
    </row>
    <row r="2572" spans="3:8" x14ac:dyDescent="0.2">
      <c r="C2572" s="195">
        <v>44707</v>
      </c>
      <c r="D2572" s="55">
        <v>280</v>
      </c>
      <c r="E2572" s="55" t="s">
        <v>4736</v>
      </c>
      <c r="F2572" s="55" t="s">
        <v>231</v>
      </c>
      <c r="G2572" s="55" t="s">
        <v>371</v>
      </c>
      <c r="H2572" s="50" t="s">
        <v>4737</v>
      </c>
    </row>
    <row r="2573" spans="3:8" x14ac:dyDescent="0.2">
      <c r="C2573" s="195">
        <v>44683</v>
      </c>
      <c r="D2573" s="55">
        <v>260</v>
      </c>
      <c r="E2573" s="55" t="s">
        <v>4738</v>
      </c>
      <c r="F2573" s="55" t="s">
        <v>192</v>
      </c>
      <c r="G2573" s="55" t="s">
        <v>258</v>
      </c>
      <c r="H2573" s="50" t="s">
        <v>224</v>
      </c>
    </row>
    <row r="2574" spans="3:8" x14ac:dyDescent="0.2">
      <c r="C2574" s="195">
        <v>44687</v>
      </c>
      <c r="D2574" s="55">
        <v>280</v>
      </c>
      <c r="E2574" s="55" t="s">
        <v>4739</v>
      </c>
      <c r="F2574" s="55" t="s">
        <v>267</v>
      </c>
      <c r="G2574" s="55" t="s">
        <v>442</v>
      </c>
      <c r="H2574" s="50" t="s">
        <v>4740</v>
      </c>
    </row>
    <row r="2575" spans="3:8" x14ac:dyDescent="0.2">
      <c r="C2575" s="195">
        <v>44708</v>
      </c>
      <c r="D2575" s="55">
        <v>280</v>
      </c>
      <c r="E2575" s="55" t="s">
        <v>4741</v>
      </c>
      <c r="F2575" s="55" t="s">
        <v>267</v>
      </c>
      <c r="G2575" s="55" t="s">
        <v>442</v>
      </c>
      <c r="H2575" s="50" t="s">
        <v>4742</v>
      </c>
    </row>
    <row r="2576" spans="3:8" x14ac:dyDescent="0.2">
      <c r="C2576" s="195">
        <v>44694</v>
      </c>
      <c r="D2576" s="55">
        <v>280</v>
      </c>
      <c r="E2576" s="55" t="s">
        <v>4743</v>
      </c>
      <c r="F2576" s="55" t="s">
        <v>231</v>
      </c>
      <c r="G2576" s="55" t="s">
        <v>3096</v>
      </c>
      <c r="H2576" s="50" t="s">
        <v>4744</v>
      </c>
    </row>
    <row r="2577" spans="1:62" x14ac:dyDescent="0.2">
      <c r="C2577" s="195">
        <v>44700</v>
      </c>
      <c r="D2577" s="55">
        <v>260</v>
      </c>
      <c r="E2577" s="55" t="s">
        <v>4745</v>
      </c>
      <c r="F2577" s="55" t="s">
        <v>196</v>
      </c>
      <c r="G2577" s="55" t="s">
        <v>464</v>
      </c>
      <c r="H2577" s="50" t="s">
        <v>4746</v>
      </c>
    </row>
    <row r="2578" spans="1:62" x14ac:dyDescent="0.2">
      <c r="C2578" s="195">
        <v>44712</v>
      </c>
      <c r="D2578" s="55">
        <v>280</v>
      </c>
      <c r="E2578" s="55" t="s">
        <v>4747</v>
      </c>
      <c r="F2578" s="55" t="s">
        <v>390</v>
      </c>
      <c r="G2578" s="55" t="s">
        <v>922</v>
      </c>
      <c r="H2578" s="50" t="s">
        <v>4748</v>
      </c>
    </row>
    <row r="2579" spans="1:62" x14ac:dyDescent="0.2">
      <c r="C2579" s="195">
        <v>44685</v>
      </c>
      <c r="D2579" s="55">
        <v>280</v>
      </c>
      <c r="E2579" s="55" t="s">
        <v>4749</v>
      </c>
      <c r="F2579" s="55" t="s">
        <v>267</v>
      </c>
      <c r="G2579" s="55" t="s">
        <v>4098</v>
      </c>
      <c r="H2579" s="50" t="s">
        <v>224</v>
      </c>
    </row>
    <row r="2580" spans="1:62" x14ac:dyDescent="0.2">
      <c r="C2580" s="195">
        <v>44686</v>
      </c>
      <c r="D2580" s="55">
        <v>280</v>
      </c>
      <c r="E2580" s="55" t="s">
        <v>4750</v>
      </c>
      <c r="F2580" s="55" t="s">
        <v>210</v>
      </c>
      <c r="G2580" s="55" t="s">
        <v>2684</v>
      </c>
      <c r="H2580" s="50" t="s">
        <v>4751</v>
      </c>
    </row>
    <row r="2581" spans="1:62" x14ac:dyDescent="0.2">
      <c r="C2581" s="195">
        <v>44692</v>
      </c>
      <c r="D2581" s="55">
        <v>260</v>
      </c>
      <c r="E2581" s="55" t="s">
        <v>4752</v>
      </c>
      <c r="F2581" s="55" t="s">
        <v>390</v>
      </c>
      <c r="G2581" s="55" t="s">
        <v>408</v>
      </c>
      <c r="H2581" s="50" t="s">
        <v>4753</v>
      </c>
    </row>
    <row r="2582" spans="1:62" x14ac:dyDescent="0.2">
      <c r="C2582" s="195">
        <v>44697</v>
      </c>
      <c r="D2582" s="55">
        <v>280</v>
      </c>
      <c r="E2582" s="55" t="s">
        <v>4754</v>
      </c>
      <c r="F2582" s="55" t="s">
        <v>231</v>
      </c>
      <c r="G2582" s="55" t="s">
        <v>232</v>
      </c>
      <c r="H2582" s="50" t="s">
        <v>4755</v>
      </c>
    </row>
    <row r="2583" spans="1:62" x14ac:dyDescent="0.2">
      <c r="C2583" s="195">
        <v>44712</v>
      </c>
      <c r="D2583" s="55">
        <v>260</v>
      </c>
      <c r="E2583" s="55" t="s">
        <v>4756</v>
      </c>
      <c r="F2583" s="55" t="s">
        <v>291</v>
      </c>
      <c r="G2583" s="55" t="s">
        <v>819</v>
      </c>
      <c r="H2583" s="50" t="s">
        <v>4757</v>
      </c>
    </row>
    <row r="2584" spans="1:62" x14ac:dyDescent="0.2">
      <c r="A2584" s="57">
        <v>522</v>
      </c>
      <c r="B2584" s="162" t="s">
        <v>836</v>
      </c>
      <c r="C2584" s="195">
        <v>44706</v>
      </c>
      <c r="D2584" s="55">
        <v>260</v>
      </c>
      <c r="E2584" s="55" t="s">
        <v>4758</v>
      </c>
      <c r="F2584" s="55" t="s">
        <v>244</v>
      </c>
      <c r="G2584" s="55" t="s">
        <v>696</v>
      </c>
      <c r="I2584" s="46" t="s">
        <v>839</v>
      </c>
      <c r="J2584" s="52">
        <v>1</v>
      </c>
      <c r="K2584" s="52">
        <v>1</v>
      </c>
      <c r="O2584" s="1">
        <v>1</v>
      </c>
      <c r="S2584" s="1">
        <v>1</v>
      </c>
      <c r="W2584" s="1">
        <v>1</v>
      </c>
      <c r="AA2584" s="1">
        <v>1</v>
      </c>
      <c r="AG2584">
        <v>1</v>
      </c>
      <c r="AM2584">
        <v>1</v>
      </c>
      <c r="AN2584">
        <v>1</v>
      </c>
      <c r="AO2584">
        <v>1</v>
      </c>
      <c r="AP2584">
        <v>3</v>
      </c>
      <c r="AQ2584">
        <v>3</v>
      </c>
      <c r="AR2584">
        <v>3</v>
      </c>
      <c r="AS2584">
        <v>4</v>
      </c>
      <c r="AT2584">
        <v>1</v>
      </c>
      <c r="AU2584">
        <v>1</v>
      </c>
      <c r="AZ2584">
        <v>1</v>
      </c>
      <c r="BA2584">
        <v>1</v>
      </c>
      <c r="BB2584">
        <v>1</v>
      </c>
      <c r="BC2584">
        <v>1</v>
      </c>
      <c r="BD2584">
        <v>1</v>
      </c>
      <c r="BE2584">
        <v>1</v>
      </c>
      <c r="BJ2584">
        <v>1</v>
      </c>
    </row>
    <row r="2585" spans="1:62" x14ac:dyDescent="0.2">
      <c r="C2585" s="195">
        <v>44739</v>
      </c>
      <c r="D2585" s="55">
        <v>260</v>
      </c>
      <c r="E2585" s="55" t="s">
        <v>4759</v>
      </c>
      <c r="F2585" s="55" t="s">
        <v>219</v>
      </c>
      <c r="G2585" s="55" t="s">
        <v>540</v>
      </c>
      <c r="H2585" s="50" t="s">
        <v>4760</v>
      </c>
    </row>
    <row r="2586" spans="1:62" x14ac:dyDescent="0.2">
      <c r="C2586" s="195">
        <v>44742</v>
      </c>
      <c r="D2586" s="55">
        <v>280</v>
      </c>
      <c r="E2586" s="55" t="s">
        <v>4761</v>
      </c>
      <c r="F2586" s="55" t="s">
        <v>272</v>
      </c>
      <c r="G2586" s="55" t="s">
        <v>273</v>
      </c>
      <c r="H2586" s="50" t="s">
        <v>4762</v>
      </c>
    </row>
    <row r="2587" spans="1:62" x14ac:dyDescent="0.2">
      <c r="C2587" s="195">
        <v>44734</v>
      </c>
      <c r="D2587" s="55">
        <v>280</v>
      </c>
      <c r="E2587" s="55" t="s">
        <v>4763</v>
      </c>
      <c r="F2587" s="55" t="s">
        <v>244</v>
      </c>
      <c r="G2587" s="55" t="s">
        <v>1085</v>
      </c>
      <c r="H2587" s="50" t="s">
        <v>4764</v>
      </c>
    </row>
    <row r="2588" spans="1:62" x14ac:dyDescent="0.2">
      <c r="C2588" s="195">
        <v>44732</v>
      </c>
      <c r="D2588" s="55">
        <v>280</v>
      </c>
      <c r="E2588" s="55" t="s">
        <v>4765</v>
      </c>
      <c r="F2588" s="55" t="s">
        <v>210</v>
      </c>
      <c r="G2588" s="55" t="s">
        <v>496</v>
      </c>
      <c r="H2588" s="50" t="s">
        <v>4766</v>
      </c>
    </row>
    <row r="2589" spans="1:62" x14ac:dyDescent="0.2">
      <c r="C2589" s="195">
        <v>44722</v>
      </c>
      <c r="D2589" s="55">
        <v>260</v>
      </c>
      <c r="E2589" s="55" t="s">
        <v>4767</v>
      </c>
      <c r="F2589" s="55" t="s">
        <v>196</v>
      </c>
      <c r="G2589" s="55" t="s">
        <v>352</v>
      </c>
      <c r="H2589" s="50" t="s">
        <v>4768</v>
      </c>
    </row>
    <row r="2590" spans="1:62" x14ac:dyDescent="0.2">
      <c r="C2590" s="195">
        <v>44742</v>
      </c>
      <c r="D2590" s="55">
        <v>260</v>
      </c>
      <c r="E2590" s="55" t="s">
        <v>4769</v>
      </c>
      <c r="F2590" s="55" t="s">
        <v>272</v>
      </c>
      <c r="G2590" s="55" t="s">
        <v>273</v>
      </c>
      <c r="H2590" s="50" t="s">
        <v>4770</v>
      </c>
    </row>
    <row r="2591" spans="1:62" x14ac:dyDescent="0.2">
      <c r="C2591" s="195">
        <v>44713</v>
      </c>
      <c r="D2591" s="55">
        <v>280</v>
      </c>
      <c r="E2591" s="55" t="s">
        <v>4771</v>
      </c>
      <c r="F2591" s="55" t="s">
        <v>267</v>
      </c>
      <c r="G2591" s="55" t="s">
        <v>268</v>
      </c>
      <c r="H2591" s="50" t="s">
        <v>4772</v>
      </c>
    </row>
    <row r="2592" spans="1:62" x14ac:dyDescent="0.2">
      <c r="C2592" s="195">
        <v>44742</v>
      </c>
      <c r="D2592" s="55">
        <v>260</v>
      </c>
      <c r="E2592" s="55" t="s">
        <v>4773</v>
      </c>
      <c r="F2592" s="55" t="s">
        <v>219</v>
      </c>
      <c r="G2592" s="55" t="s">
        <v>220</v>
      </c>
      <c r="H2592" s="50" t="s">
        <v>4774</v>
      </c>
    </row>
    <row r="2593" spans="1:62" x14ac:dyDescent="0.2">
      <c r="A2593" s="57">
        <v>522</v>
      </c>
      <c r="B2593" t="s">
        <v>836</v>
      </c>
      <c r="C2593" s="195">
        <v>44722</v>
      </c>
      <c r="D2593" s="55">
        <v>260</v>
      </c>
      <c r="E2593" s="55" t="s">
        <v>4775</v>
      </c>
      <c r="F2593" s="55" t="s">
        <v>267</v>
      </c>
      <c r="G2593" s="55" t="s">
        <v>331</v>
      </c>
      <c r="H2593" s="50" t="s">
        <v>224</v>
      </c>
      <c r="I2593" s="46" t="s">
        <v>839</v>
      </c>
      <c r="J2593" s="52">
        <v>1</v>
      </c>
      <c r="K2593" s="52">
        <v>1</v>
      </c>
      <c r="O2593" s="1">
        <v>1</v>
      </c>
      <c r="S2593" s="1">
        <v>1</v>
      </c>
      <c r="W2593" s="1">
        <v>1</v>
      </c>
      <c r="AA2593" s="1">
        <v>1</v>
      </c>
      <c r="AG2593">
        <v>1</v>
      </c>
      <c r="AM2593">
        <v>1</v>
      </c>
      <c r="AN2593">
        <v>1</v>
      </c>
      <c r="AO2593">
        <v>1</v>
      </c>
      <c r="AP2593">
        <v>1</v>
      </c>
      <c r="AQ2593">
        <v>1</v>
      </c>
      <c r="AR2593">
        <v>2</v>
      </c>
      <c r="AS2593">
        <v>1</v>
      </c>
      <c r="AT2593">
        <v>1</v>
      </c>
      <c r="AU2593">
        <v>1</v>
      </c>
      <c r="AZ2593">
        <v>1</v>
      </c>
      <c r="BA2593">
        <v>1</v>
      </c>
      <c r="BB2593">
        <v>1</v>
      </c>
      <c r="BC2593">
        <v>1</v>
      </c>
      <c r="BD2593">
        <v>1</v>
      </c>
      <c r="BE2593">
        <v>1</v>
      </c>
      <c r="BJ2593">
        <v>1</v>
      </c>
    </row>
    <row r="2594" spans="1:62" x14ac:dyDescent="0.2">
      <c r="C2594" s="195">
        <v>44742</v>
      </c>
      <c r="D2594" s="55">
        <v>280</v>
      </c>
      <c r="E2594" s="55" t="s">
        <v>4776</v>
      </c>
      <c r="F2594" s="55" t="s">
        <v>390</v>
      </c>
      <c r="G2594" s="55" t="s">
        <v>590</v>
      </c>
      <c r="H2594" s="50" t="s">
        <v>4777</v>
      </c>
    </row>
    <row r="2595" spans="1:62" x14ac:dyDescent="0.2">
      <c r="C2595" s="195">
        <v>44736</v>
      </c>
      <c r="D2595" s="55">
        <v>260</v>
      </c>
      <c r="E2595" s="55" t="s">
        <v>4778</v>
      </c>
      <c r="F2595" s="55" t="s">
        <v>244</v>
      </c>
      <c r="G2595" s="55" t="s">
        <v>1085</v>
      </c>
      <c r="H2595" s="50" t="s">
        <v>4779</v>
      </c>
    </row>
    <row r="2596" spans="1:62" x14ac:dyDescent="0.2">
      <c r="C2596" s="195">
        <v>44726</v>
      </c>
      <c r="D2596" s="55">
        <v>260</v>
      </c>
      <c r="E2596" s="55" t="s">
        <v>4780</v>
      </c>
      <c r="F2596" s="55" t="s">
        <v>192</v>
      </c>
      <c r="G2596" s="55" t="s">
        <v>563</v>
      </c>
      <c r="H2596" s="50" t="s">
        <v>4781</v>
      </c>
    </row>
    <row r="2597" spans="1:62" x14ac:dyDescent="0.2">
      <c r="C2597" s="195">
        <v>44732</v>
      </c>
      <c r="D2597" s="55">
        <v>260</v>
      </c>
      <c r="E2597" s="55" t="s">
        <v>4782</v>
      </c>
      <c r="F2597" s="55" t="s">
        <v>219</v>
      </c>
      <c r="G2597" s="55" t="s">
        <v>249</v>
      </c>
      <c r="H2597" s="50" t="s">
        <v>4783</v>
      </c>
    </row>
    <row r="2598" spans="1:62" x14ac:dyDescent="0.2">
      <c r="C2598" s="195">
        <v>44722</v>
      </c>
      <c r="D2598" s="55">
        <v>280</v>
      </c>
      <c r="E2598" s="55" t="s">
        <v>4784</v>
      </c>
      <c r="F2598" s="55" t="s">
        <v>231</v>
      </c>
      <c r="G2598" s="55" t="s">
        <v>255</v>
      </c>
      <c r="H2598" s="50" t="s">
        <v>4785</v>
      </c>
    </row>
    <row r="2599" spans="1:62" x14ac:dyDescent="0.2">
      <c r="C2599" s="195">
        <v>44736</v>
      </c>
      <c r="D2599" s="55">
        <v>260</v>
      </c>
      <c r="E2599" s="55" t="s">
        <v>4786</v>
      </c>
      <c r="F2599" s="55" t="s">
        <v>244</v>
      </c>
      <c r="G2599" s="55" t="s">
        <v>378</v>
      </c>
      <c r="H2599" s="50" t="s">
        <v>4787</v>
      </c>
    </row>
    <row r="2600" spans="1:62" x14ac:dyDescent="0.2">
      <c r="C2600" s="195">
        <v>44732</v>
      </c>
      <c r="D2600" s="55">
        <v>260</v>
      </c>
      <c r="E2600" s="55" t="s">
        <v>4788</v>
      </c>
      <c r="F2600" s="55" t="s">
        <v>263</v>
      </c>
      <c r="G2600" s="55" t="s">
        <v>1113</v>
      </c>
      <c r="H2600" s="50" t="s">
        <v>4789</v>
      </c>
    </row>
    <row r="2601" spans="1:62" x14ac:dyDescent="0.2">
      <c r="C2601" s="195">
        <v>44739</v>
      </c>
      <c r="D2601" s="55">
        <v>260</v>
      </c>
      <c r="E2601" s="55" t="s">
        <v>4790</v>
      </c>
      <c r="F2601" s="55" t="s">
        <v>196</v>
      </c>
      <c r="G2601" s="55" t="s">
        <v>415</v>
      </c>
      <c r="H2601" s="50" t="s">
        <v>4791</v>
      </c>
    </row>
    <row r="2602" spans="1:62" x14ac:dyDescent="0.2">
      <c r="C2602" s="195">
        <v>44715</v>
      </c>
      <c r="D2602" s="55">
        <v>260</v>
      </c>
      <c r="E2602" s="55" t="s">
        <v>4792</v>
      </c>
      <c r="F2602" s="55" t="s">
        <v>272</v>
      </c>
      <c r="G2602" s="55" t="s">
        <v>273</v>
      </c>
      <c r="H2602" s="50" t="s">
        <v>4793</v>
      </c>
    </row>
    <row r="2603" spans="1:62" x14ac:dyDescent="0.2">
      <c r="C2603" s="195">
        <v>44727</v>
      </c>
      <c r="D2603" s="55">
        <v>280</v>
      </c>
      <c r="E2603" s="55" t="s">
        <v>4794</v>
      </c>
      <c r="F2603" s="55" t="s">
        <v>210</v>
      </c>
      <c r="G2603" s="55" t="s">
        <v>2684</v>
      </c>
      <c r="H2603" s="50" t="s">
        <v>4795</v>
      </c>
    </row>
    <row r="2604" spans="1:62" x14ac:dyDescent="0.2">
      <c r="C2604" s="195">
        <v>44721</v>
      </c>
      <c r="D2604" s="55">
        <v>260</v>
      </c>
      <c r="E2604" s="55" t="s">
        <v>4796</v>
      </c>
      <c r="F2604" s="55" t="s">
        <v>210</v>
      </c>
      <c r="G2604" s="55" t="s">
        <v>496</v>
      </c>
      <c r="H2604" s="50" t="s">
        <v>4797</v>
      </c>
    </row>
    <row r="2605" spans="1:62" x14ac:dyDescent="0.2">
      <c r="C2605" s="195">
        <v>44714</v>
      </c>
      <c r="D2605" s="55">
        <v>280</v>
      </c>
      <c r="E2605" s="55" t="s">
        <v>4798</v>
      </c>
      <c r="F2605" s="55" t="s">
        <v>231</v>
      </c>
      <c r="G2605" s="55" t="s">
        <v>2088</v>
      </c>
      <c r="H2605" s="50" t="s">
        <v>4799</v>
      </c>
    </row>
    <row r="2606" spans="1:62" x14ac:dyDescent="0.2">
      <c r="C2606" s="195">
        <v>44722</v>
      </c>
      <c r="D2606" s="55">
        <v>260</v>
      </c>
      <c r="E2606" s="55" t="s">
        <v>4800</v>
      </c>
      <c r="F2606" s="55" t="s">
        <v>210</v>
      </c>
      <c r="G2606" s="55" t="s">
        <v>883</v>
      </c>
      <c r="H2606" s="50" t="s">
        <v>4801</v>
      </c>
    </row>
    <row r="2607" spans="1:62" x14ac:dyDescent="0.2">
      <c r="A2607" s="57">
        <v>522</v>
      </c>
      <c r="B2607" t="s">
        <v>836</v>
      </c>
      <c r="C2607" s="195">
        <v>44742</v>
      </c>
      <c r="D2607" s="55">
        <v>260</v>
      </c>
      <c r="E2607" s="55" t="s">
        <v>4802</v>
      </c>
      <c r="F2607" s="55" t="s">
        <v>267</v>
      </c>
      <c r="G2607" s="55" t="s">
        <v>1109</v>
      </c>
      <c r="H2607" s="50" t="s">
        <v>224</v>
      </c>
      <c r="I2607" s="46" t="s">
        <v>839</v>
      </c>
      <c r="J2607" s="52">
        <v>1</v>
      </c>
      <c r="K2607" s="52">
        <v>1</v>
      </c>
      <c r="O2607" s="1">
        <v>1</v>
      </c>
      <c r="S2607" s="1">
        <v>1</v>
      </c>
      <c r="W2607" s="1">
        <v>1</v>
      </c>
      <c r="AA2607" s="1">
        <v>5</v>
      </c>
      <c r="AG2607">
        <v>1</v>
      </c>
      <c r="AM2607">
        <v>4</v>
      </c>
      <c r="AS2607">
        <v>4</v>
      </c>
      <c r="AT2607">
        <v>1</v>
      </c>
      <c r="AU2607">
        <v>1</v>
      </c>
      <c r="AZ2607">
        <v>1</v>
      </c>
      <c r="BA2607">
        <v>1</v>
      </c>
      <c r="BB2607">
        <v>1</v>
      </c>
      <c r="BC2607">
        <v>1</v>
      </c>
      <c r="BD2607">
        <v>1</v>
      </c>
      <c r="BE2607">
        <v>5</v>
      </c>
      <c r="BJ2607">
        <v>1</v>
      </c>
    </row>
    <row r="2608" spans="1:62" x14ac:dyDescent="0.2">
      <c r="C2608" s="195">
        <v>44735</v>
      </c>
      <c r="D2608" s="55">
        <v>260</v>
      </c>
      <c r="E2608" s="55" t="s">
        <v>4803</v>
      </c>
      <c r="F2608" s="55" t="s">
        <v>210</v>
      </c>
      <c r="G2608" s="55" t="s">
        <v>306</v>
      </c>
      <c r="H2608" s="50" t="s">
        <v>4804</v>
      </c>
    </row>
    <row r="2609" spans="1:9" x14ac:dyDescent="0.2">
      <c r="C2609" s="195">
        <v>44742</v>
      </c>
      <c r="D2609" s="55">
        <v>280</v>
      </c>
      <c r="E2609" s="55" t="s">
        <v>4805</v>
      </c>
      <c r="F2609" s="55" t="s">
        <v>210</v>
      </c>
      <c r="G2609" s="55" t="s">
        <v>211</v>
      </c>
      <c r="H2609" s="50" t="s">
        <v>4806</v>
      </c>
    </row>
    <row r="2610" spans="1:9" x14ac:dyDescent="0.2">
      <c r="C2610" s="195">
        <v>44720</v>
      </c>
      <c r="D2610" s="55">
        <v>260</v>
      </c>
      <c r="E2610" s="55" t="s">
        <v>4807</v>
      </c>
      <c r="F2610" s="55" t="s">
        <v>231</v>
      </c>
      <c r="G2610" s="55" t="s">
        <v>421</v>
      </c>
      <c r="H2610" s="50" t="s">
        <v>4808</v>
      </c>
    </row>
    <row r="2611" spans="1:9" x14ac:dyDescent="0.2">
      <c r="C2611" s="195">
        <v>44735</v>
      </c>
      <c r="D2611" s="55">
        <v>260</v>
      </c>
      <c r="E2611" s="55" t="s">
        <v>4809</v>
      </c>
      <c r="F2611" s="55" t="s">
        <v>196</v>
      </c>
      <c r="G2611" s="55" t="s">
        <v>197</v>
      </c>
      <c r="H2611" s="50" t="s">
        <v>4810</v>
      </c>
    </row>
    <row r="2612" spans="1:9" x14ac:dyDescent="0.2">
      <c r="C2612" s="195">
        <v>44719</v>
      </c>
      <c r="D2612" s="55">
        <v>280</v>
      </c>
      <c r="E2612" s="55" t="s">
        <v>4811</v>
      </c>
      <c r="F2612" s="55" t="s">
        <v>210</v>
      </c>
      <c r="G2612" s="55" t="s">
        <v>2684</v>
      </c>
      <c r="H2612" s="50" t="s">
        <v>4812</v>
      </c>
    </row>
    <row r="2613" spans="1:9" x14ac:dyDescent="0.2">
      <c r="C2613" s="195">
        <v>44722</v>
      </c>
      <c r="D2613" s="55">
        <v>280</v>
      </c>
      <c r="E2613" s="55" t="s">
        <v>4813</v>
      </c>
      <c r="F2613" s="55" t="s">
        <v>244</v>
      </c>
      <c r="G2613" s="55" t="s">
        <v>378</v>
      </c>
      <c r="H2613" s="50" t="s">
        <v>4814</v>
      </c>
    </row>
    <row r="2614" spans="1:9" x14ac:dyDescent="0.2">
      <c r="A2614" s="57">
        <v>622</v>
      </c>
      <c r="B2614" t="s">
        <v>836</v>
      </c>
      <c r="C2614" s="195">
        <v>44733</v>
      </c>
      <c r="D2614" s="55">
        <v>280</v>
      </c>
      <c r="E2614" s="55" t="s">
        <v>4815</v>
      </c>
      <c r="F2614" s="55" t="s">
        <v>263</v>
      </c>
      <c r="G2614" s="55" t="s">
        <v>1005</v>
      </c>
      <c r="H2614" s="50" t="s">
        <v>224</v>
      </c>
      <c r="I2614" s="46" t="s">
        <v>837</v>
      </c>
    </row>
    <row r="2615" spans="1:9" x14ac:dyDescent="0.2">
      <c r="C2615" s="195">
        <v>44742</v>
      </c>
      <c r="D2615" s="55">
        <v>260</v>
      </c>
      <c r="E2615" s="55" t="s">
        <v>4816</v>
      </c>
      <c r="F2615" s="55" t="s">
        <v>231</v>
      </c>
      <c r="G2615" s="55" t="s">
        <v>435</v>
      </c>
      <c r="H2615" s="50" t="s">
        <v>224</v>
      </c>
    </row>
    <row r="2616" spans="1:9" x14ac:dyDescent="0.2">
      <c r="C2616" s="195">
        <v>44736</v>
      </c>
      <c r="D2616" s="55">
        <v>260</v>
      </c>
      <c r="E2616" s="55" t="s">
        <v>4817</v>
      </c>
      <c r="F2616" s="55" t="s">
        <v>390</v>
      </c>
      <c r="G2616" s="55" t="s">
        <v>779</v>
      </c>
      <c r="H2616" s="50" t="s">
        <v>4818</v>
      </c>
    </row>
    <row r="2617" spans="1:9" x14ac:dyDescent="0.2">
      <c r="C2617" s="195">
        <v>44742</v>
      </c>
      <c r="D2617" s="55">
        <v>280</v>
      </c>
      <c r="E2617" s="55" t="s">
        <v>4819</v>
      </c>
      <c r="F2617" s="55" t="s">
        <v>390</v>
      </c>
      <c r="G2617" s="55" t="s">
        <v>656</v>
      </c>
      <c r="H2617" s="50" t="s">
        <v>4820</v>
      </c>
    </row>
    <row r="2618" spans="1:9" x14ac:dyDescent="0.2">
      <c r="C2618" s="195">
        <v>44742</v>
      </c>
      <c r="D2618" s="55">
        <v>280</v>
      </c>
      <c r="E2618" s="55" t="s">
        <v>4821</v>
      </c>
      <c r="F2618" s="55" t="s">
        <v>231</v>
      </c>
      <c r="G2618" s="55" t="s">
        <v>421</v>
      </c>
      <c r="H2618" s="50" t="s">
        <v>224</v>
      </c>
    </row>
    <row r="2619" spans="1:9" x14ac:dyDescent="0.2">
      <c r="C2619" s="195">
        <v>44718</v>
      </c>
      <c r="D2619" s="55">
        <v>260</v>
      </c>
      <c r="E2619" s="55" t="s">
        <v>4822</v>
      </c>
      <c r="F2619" s="55" t="s">
        <v>196</v>
      </c>
      <c r="G2619" s="55" t="s">
        <v>349</v>
      </c>
      <c r="H2619" s="50" t="s">
        <v>4823</v>
      </c>
    </row>
    <row r="2620" spans="1:9" x14ac:dyDescent="0.2">
      <c r="C2620" s="195">
        <v>44734</v>
      </c>
      <c r="D2620" s="55">
        <v>280</v>
      </c>
      <c r="E2620" s="55" t="s">
        <v>4824</v>
      </c>
      <c r="F2620" s="55" t="s">
        <v>231</v>
      </c>
      <c r="G2620" s="55" t="s">
        <v>3965</v>
      </c>
      <c r="H2620" s="50" t="s">
        <v>4825</v>
      </c>
    </row>
    <row r="2621" spans="1:9" x14ac:dyDescent="0.2">
      <c r="C2621" s="195">
        <v>44732</v>
      </c>
      <c r="D2621" s="55">
        <v>260</v>
      </c>
      <c r="E2621" s="55" t="s">
        <v>4826</v>
      </c>
      <c r="F2621" s="55" t="s">
        <v>272</v>
      </c>
      <c r="G2621" s="55" t="s">
        <v>366</v>
      </c>
      <c r="H2621" s="50" t="s">
        <v>4827</v>
      </c>
    </row>
    <row r="2622" spans="1:9" x14ac:dyDescent="0.2">
      <c r="C2622" s="195">
        <v>44742</v>
      </c>
      <c r="D2622" s="55">
        <v>260</v>
      </c>
      <c r="E2622" s="55" t="s">
        <v>4828</v>
      </c>
      <c r="F2622" s="55" t="s">
        <v>202</v>
      </c>
      <c r="G2622" s="55" t="s">
        <v>297</v>
      </c>
      <c r="H2622" s="50" t="s">
        <v>4829</v>
      </c>
    </row>
    <row r="2623" spans="1:9" x14ac:dyDescent="0.2">
      <c r="C2623" s="195">
        <v>44720</v>
      </c>
      <c r="D2623" s="55">
        <v>280</v>
      </c>
      <c r="E2623" s="55" t="s">
        <v>4830</v>
      </c>
      <c r="F2623" s="55" t="s">
        <v>291</v>
      </c>
      <c r="G2623" s="55" t="s">
        <v>480</v>
      </c>
      <c r="H2623" s="50" t="s">
        <v>4831</v>
      </c>
    </row>
    <row r="2624" spans="1:9" x14ac:dyDescent="0.2">
      <c r="C2624" s="195">
        <v>44729</v>
      </c>
      <c r="D2624" s="55">
        <v>280</v>
      </c>
      <c r="E2624" s="55" t="s">
        <v>4832</v>
      </c>
      <c r="F2624" s="55" t="s">
        <v>291</v>
      </c>
      <c r="G2624" s="55" t="s">
        <v>480</v>
      </c>
      <c r="H2624" s="50" t="s">
        <v>4833</v>
      </c>
    </row>
    <row r="2625" spans="1:62" x14ac:dyDescent="0.2">
      <c r="C2625" s="195">
        <v>44729</v>
      </c>
      <c r="D2625" s="55">
        <v>280</v>
      </c>
      <c r="E2625" s="55" t="s">
        <v>4834</v>
      </c>
      <c r="F2625" s="55" t="s">
        <v>390</v>
      </c>
      <c r="G2625" s="55" t="s">
        <v>656</v>
      </c>
    </row>
    <row r="2626" spans="1:62" x14ac:dyDescent="0.2">
      <c r="C2626" s="195">
        <v>44725</v>
      </c>
      <c r="D2626" s="55">
        <v>260</v>
      </c>
      <c r="E2626" s="55" t="s">
        <v>4835</v>
      </c>
      <c r="F2626" s="55" t="s">
        <v>196</v>
      </c>
      <c r="G2626" s="55" t="s">
        <v>464</v>
      </c>
      <c r="H2626" s="50" t="s">
        <v>4836</v>
      </c>
    </row>
    <row r="2627" spans="1:62" x14ac:dyDescent="0.2">
      <c r="C2627" s="195">
        <v>44741</v>
      </c>
      <c r="D2627" s="55">
        <v>260</v>
      </c>
      <c r="E2627" s="55" t="s">
        <v>4837</v>
      </c>
      <c r="F2627" s="55" t="s">
        <v>196</v>
      </c>
      <c r="G2627" s="55" t="s">
        <v>352</v>
      </c>
      <c r="H2627" s="50" t="s">
        <v>4838</v>
      </c>
    </row>
    <row r="2628" spans="1:62" x14ac:dyDescent="0.2">
      <c r="A2628" s="57">
        <v>622</v>
      </c>
      <c r="B2628" t="s">
        <v>836</v>
      </c>
      <c r="C2628" s="195">
        <v>44741</v>
      </c>
      <c r="D2628" s="55">
        <v>260</v>
      </c>
      <c r="E2628" s="55" t="s">
        <v>4839</v>
      </c>
      <c r="F2628" s="55" t="s">
        <v>192</v>
      </c>
      <c r="G2628" s="55" t="s">
        <v>487</v>
      </c>
      <c r="I2628" s="46" t="s">
        <v>839</v>
      </c>
      <c r="J2628" s="52">
        <v>1</v>
      </c>
      <c r="K2628" s="52">
        <v>1</v>
      </c>
      <c r="O2628" s="1">
        <v>1</v>
      </c>
      <c r="S2628" s="1">
        <v>1</v>
      </c>
      <c r="W2628" s="1">
        <v>1</v>
      </c>
      <c r="AA2628" s="1">
        <v>1</v>
      </c>
      <c r="AG2628">
        <v>1</v>
      </c>
      <c r="AM2628">
        <v>3</v>
      </c>
      <c r="AS2628">
        <v>4</v>
      </c>
      <c r="AT2628">
        <v>1</v>
      </c>
      <c r="AU2628">
        <v>1</v>
      </c>
      <c r="AZ2628">
        <v>2</v>
      </c>
      <c r="BA2628">
        <v>1</v>
      </c>
      <c r="BB2628">
        <v>1</v>
      </c>
      <c r="BC2628">
        <v>1</v>
      </c>
      <c r="BD2628">
        <v>1</v>
      </c>
      <c r="BE2628">
        <v>1</v>
      </c>
      <c r="BJ2628">
        <v>1</v>
      </c>
    </row>
    <row r="2629" spans="1:62" x14ac:dyDescent="0.2">
      <c r="C2629" s="195">
        <v>44734</v>
      </c>
      <c r="D2629" s="55">
        <v>260</v>
      </c>
      <c r="E2629" s="55" t="s">
        <v>4840</v>
      </c>
      <c r="F2629" s="55" t="s">
        <v>196</v>
      </c>
      <c r="G2629" s="55" t="s">
        <v>415</v>
      </c>
      <c r="H2629" s="50" t="s">
        <v>4841</v>
      </c>
    </row>
    <row r="2630" spans="1:62" x14ac:dyDescent="0.2">
      <c r="C2630" s="195">
        <v>44736</v>
      </c>
      <c r="D2630" s="55">
        <v>260</v>
      </c>
      <c r="E2630" s="55" t="s">
        <v>4842</v>
      </c>
      <c r="F2630" s="55" t="s">
        <v>244</v>
      </c>
      <c r="G2630" s="55" t="s">
        <v>378</v>
      </c>
      <c r="H2630" s="50" t="s">
        <v>4843</v>
      </c>
    </row>
    <row r="2631" spans="1:62" x14ac:dyDescent="0.2">
      <c r="C2631" s="195">
        <v>44713</v>
      </c>
      <c r="D2631" s="55">
        <v>260</v>
      </c>
      <c r="E2631" s="55" t="s">
        <v>4844</v>
      </c>
      <c r="F2631" s="55" t="s">
        <v>210</v>
      </c>
      <c r="G2631" s="55" t="s">
        <v>1572</v>
      </c>
      <c r="H2631" s="50" t="s">
        <v>4845</v>
      </c>
    </row>
    <row r="2632" spans="1:62" x14ac:dyDescent="0.2">
      <c r="C2632" s="195">
        <v>44733</v>
      </c>
      <c r="D2632" s="55">
        <v>260</v>
      </c>
      <c r="E2632" s="55" t="s">
        <v>4846</v>
      </c>
      <c r="F2632" s="55" t="s">
        <v>291</v>
      </c>
      <c r="G2632" s="55" t="s">
        <v>819</v>
      </c>
      <c r="H2632" s="50" t="s">
        <v>4847</v>
      </c>
    </row>
    <row r="2633" spans="1:62" x14ac:dyDescent="0.2">
      <c r="C2633" s="195">
        <v>44741</v>
      </c>
      <c r="D2633" s="55">
        <v>260</v>
      </c>
      <c r="E2633" s="55" t="s">
        <v>4848</v>
      </c>
      <c r="F2633" s="55" t="s">
        <v>196</v>
      </c>
      <c r="G2633" s="55" t="s">
        <v>197</v>
      </c>
      <c r="H2633" s="50" t="s">
        <v>4849</v>
      </c>
    </row>
    <row r="2634" spans="1:62" x14ac:dyDescent="0.2">
      <c r="C2634" s="195">
        <v>44742</v>
      </c>
      <c r="D2634" s="55">
        <v>260</v>
      </c>
      <c r="E2634" s="55" t="s">
        <v>4850</v>
      </c>
      <c r="F2634" s="55" t="s">
        <v>244</v>
      </c>
      <c r="G2634" s="55" t="s">
        <v>767</v>
      </c>
      <c r="H2634" s="50" t="s">
        <v>4851</v>
      </c>
    </row>
    <row r="2635" spans="1:62" x14ac:dyDescent="0.2">
      <c r="C2635" s="195">
        <v>44734</v>
      </c>
      <c r="D2635" s="55">
        <v>260</v>
      </c>
      <c r="E2635" s="55" t="s">
        <v>4852</v>
      </c>
      <c r="F2635" s="55" t="s">
        <v>196</v>
      </c>
      <c r="G2635" s="55" t="s">
        <v>498</v>
      </c>
      <c r="H2635" s="50" t="s">
        <v>4853</v>
      </c>
    </row>
    <row r="2636" spans="1:62" x14ac:dyDescent="0.2">
      <c r="C2636" s="195">
        <v>44734</v>
      </c>
      <c r="D2636" s="55">
        <v>260</v>
      </c>
      <c r="E2636" s="55" t="s">
        <v>4854</v>
      </c>
      <c r="F2636" s="55" t="s">
        <v>291</v>
      </c>
      <c r="G2636" s="55" t="s">
        <v>1247</v>
      </c>
      <c r="H2636" s="50" t="s">
        <v>4855</v>
      </c>
    </row>
    <row r="2637" spans="1:62" x14ac:dyDescent="0.2">
      <c r="C2637" s="195">
        <v>44714</v>
      </c>
      <c r="D2637" s="55">
        <v>260</v>
      </c>
      <c r="E2637" s="55" t="s">
        <v>4856</v>
      </c>
      <c r="F2637" s="55" t="s">
        <v>244</v>
      </c>
      <c r="G2637" s="55" t="s">
        <v>393</v>
      </c>
      <c r="H2637" s="50" t="s">
        <v>4857</v>
      </c>
    </row>
    <row r="2638" spans="1:62" x14ac:dyDescent="0.2">
      <c r="C2638" s="195">
        <v>44740</v>
      </c>
      <c r="D2638" s="55">
        <v>280</v>
      </c>
      <c r="E2638" s="55" t="s">
        <v>4858</v>
      </c>
      <c r="F2638" s="55" t="s">
        <v>244</v>
      </c>
      <c r="G2638" s="55" t="s">
        <v>260</v>
      </c>
      <c r="H2638" s="50" t="s">
        <v>4859</v>
      </c>
    </row>
    <row r="2639" spans="1:62" x14ac:dyDescent="0.2">
      <c r="C2639" s="195">
        <v>44735</v>
      </c>
      <c r="D2639" s="55">
        <v>280</v>
      </c>
      <c r="E2639" s="55" t="s">
        <v>4860</v>
      </c>
      <c r="F2639" s="55" t="s">
        <v>272</v>
      </c>
      <c r="G2639" s="55" t="s">
        <v>683</v>
      </c>
      <c r="H2639" s="50" t="s">
        <v>4861</v>
      </c>
    </row>
    <row r="2640" spans="1:62" x14ac:dyDescent="0.2">
      <c r="C2640" s="195">
        <v>44714</v>
      </c>
      <c r="D2640" s="55">
        <v>260</v>
      </c>
      <c r="E2640" s="55" t="s">
        <v>4862</v>
      </c>
      <c r="F2640" s="55" t="s">
        <v>244</v>
      </c>
      <c r="G2640" s="55" t="s">
        <v>393</v>
      </c>
      <c r="H2640" s="50" t="s">
        <v>4863</v>
      </c>
    </row>
    <row r="2641" spans="1:9" x14ac:dyDescent="0.2">
      <c r="C2641" s="195">
        <v>44742</v>
      </c>
      <c r="D2641" s="55">
        <v>260</v>
      </c>
      <c r="E2641" s="55" t="s">
        <v>4864</v>
      </c>
      <c r="F2641" s="55" t="s">
        <v>244</v>
      </c>
      <c r="G2641" s="55" t="s">
        <v>767</v>
      </c>
      <c r="H2641" s="50" t="s">
        <v>4865</v>
      </c>
    </row>
    <row r="2642" spans="1:9" x14ac:dyDescent="0.2">
      <c r="C2642" s="195">
        <v>44741</v>
      </c>
      <c r="D2642" s="55">
        <v>260</v>
      </c>
      <c r="E2642" s="55" t="s">
        <v>4866</v>
      </c>
      <c r="F2642" s="55" t="s">
        <v>196</v>
      </c>
      <c r="G2642" s="55" t="s">
        <v>498</v>
      </c>
      <c r="H2642" s="50" t="s">
        <v>4867</v>
      </c>
    </row>
    <row r="2643" spans="1:9" x14ac:dyDescent="0.2">
      <c r="C2643" s="195">
        <v>44734</v>
      </c>
      <c r="D2643" s="55">
        <v>260</v>
      </c>
      <c r="E2643" s="55" t="s">
        <v>4868</v>
      </c>
      <c r="F2643" s="55" t="s">
        <v>202</v>
      </c>
      <c r="G2643" s="55" t="s">
        <v>1146</v>
      </c>
      <c r="H2643" s="50" t="s">
        <v>4869</v>
      </c>
    </row>
    <row r="2644" spans="1:9" x14ac:dyDescent="0.2">
      <c r="C2644" s="195">
        <v>44721</v>
      </c>
      <c r="D2644" s="55">
        <v>280</v>
      </c>
      <c r="E2644" s="55" t="s">
        <v>4870</v>
      </c>
      <c r="F2644" s="55" t="s">
        <v>206</v>
      </c>
      <c r="G2644" s="55" t="s">
        <v>228</v>
      </c>
      <c r="H2644" s="50" t="s">
        <v>4871</v>
      </c>
    </row>
    <row r="2645" spans="1:9" x14ac:dyDescent="0.2">
      <c r="C2645" s="195">
        <v>44741</v>
      </c>
      <c r="D2645" s="55">
        <v>280</v>
      </c>
      <c r="E2645" s="55" t="s">
        <v>4872</v>
      </c>
      <c r="F2645" s="55" t="s">
        <v>231</v>
      </c>
      <c r="G2645" s="55" t="s">
        <v>435</v>
      </c>
      <c r="H2645" s="50" t="s">
        <v>4873</v>
      </c>
    </row>
    <row r="2646" spans="1:9" x14ac:dyDescent="0.2">
      <c r="C2646" s="195">
        <v>44734</v>
      </c>
      <c r="D2646" s="55">
        <v>280</v>
      </c>
      <c r="E2646" s="55" t="s">
        <v>4874</v>
      </c>
      <c r="F2646" s="55" t="s">
        <v>263</v>
      </c>
      <c r="G2646" s="55" t="s">
        <v>264</v>
      </c>
      <c r="H2646" s="50" t="s">
        <v>4875</v>
      </c>
    </row>
    <row r="2647" spans="1:9" x14ac:dyDescent="0.2">
      <c r="C2647" s="195">
        <v>44729</v>
      </c>
      <c r="D2647" s="55">
        <v>280</v>
      </c>
      <c r="E2647" s="55" t="s">
        <v>4876</v>
      </c>
      <c r="F2647" s="55" t="s">
        <v>196</v>
      </c>
      <c r="G2647" s="55" t="s">
        <v>352</v>
      </c>
      <c r="H2647" s="50" t="s">
        <v>4877</v>
      </c>
    </row>
    <row r="2648" spans="1:9" x14ac:dyDescent="0.2">
      <c r="C2648" s="195">
        <v>44725</v>
      </c>
      <c r="D2648" s="55">
        <v>260</v>
      </c>
      <c r="E2648" s="55" t="s">
        <v>4878</v>
      </c>
      <c r="F2648" s="55" t="s">
        <v>192</v>
      </c>
      <c r="G2648" s="55" t="s">
        <v>258</v>
      </c>
      <c r="H2648" s="50" t="s">
        <v>4879</v>
      </c>
    </row>
    <row r="2649" spans="1:9" x14ac:dyDescent="0.2">
      <c r="A2649" s="57">
        <v>622</v>
      </c>
      <c r="B2649" t="s">
        <v>836</v>
      </c>
      <c r="C2649" s="195">
        <v>44727</v>
      </c>
      <c r="D2649" s="55">
        <v>260</v>
      </c>
      <c r="E2649" s="55" t="s">
        <v>4880</v>
      </c>
      <c r="F2649" s="55" t="s">
        <v>231</v>
      </c>
      <c r="G2649" s="55" t="s">
        <v>421</v>
      </c>
      <c r="H2649" s="50" t="s">
        <v>4881</v>
      </c>
      <c r="I2649" s="46" t="s">
        <v>837</v>
      </c>
    </row>
    <row r="2650" spans="1:9" x14ac:dyDescent="0.2">
      <c r="C2650" s="195">
        <v>44736</v>
      </c>
      <c r="D2650" s="55">
        <v>280</v>
      </c>
      <c r="E2650" s="55" t="s">
        <v>4882</v>
      </c>
      <c r="F2650" s="55" t="s">
        <v>231</v>
      </c>
      <c r="G2650" s="55" t="s">
        <v>371</v>
      </c>
      <c r="H2650" s="50" t="s">
        <v>4883</v>
      </c>
    </row>
    <row r="2651" spans="1:9" x14ac:dyDescent="0.2">
      <c r="C2651" s="195">
        <v>44732</v>
      </c>
      <c r="D2651" s="55">
        <v>260</v>
      </c>
      <c r="E2651" s="55" t="s">
        <v>4884</v>
      </c>
      <c r="F2651" s="55" t="s">
        <v>202</v>
      </c>
      <c r="G2651" s="55" t="s">
        <v>203</v>
      </c>
      <c r="H2651" s="50" t="s">
        <v>4885</v>
      </c>
    </row>
    <row r="2652" spans="1:9" x14ac:dyDescent="0.2">
      <c r="C2652" s="195">
        <v>44733</v>
      </c>
      <c r="D2652" s="55">
        <v>280</v>
      </c>
      <c r="E2652" s="55" t="s">
        <v>4886</v>
      </c>
      <c r="F2652" s="55" t="s">
        <v>291</v>
      </c>
      <c r="G2652" s="55" t="s">
        <v>819</v>
      </c>
      <c r="H2652" s="50" t="s">
        <v>4887</v>
      </c>
    </row>
    <row r="2653" spans="1:9" x14ac:dyDescent="0.2">
      <c r="C2653" s="195">
        <v>44721</v>
      </c>
      <c r="D2653" s="55">
        <v>280</v>
      </c>
      <c r="E2653" s="55" t="s">
        <v>4888</v>
      </c>
      <c r="F2653" s="55" t="s">
        <v>263</v>
      </c>
      <c r="G2653" s="55" t="s">
        <v>426</v>
      </c>
      <c r="H2653" s="50" t="s">
        <v>4889</v>
      </c>
    </row>
    <row r="2654" spans="1:9" x14ac:dyDescent="0.2">
      <c r="C2654" s="195">
        <v>44734</v>
      </c>
      <c r="D2654" s="55">
        <v>280</v>
      </c>
      <c r="E2654" s="55" t="s">
        <v>4890</v>
      </c>
      <c r="F2654" s="55" t="s">
        <v>272</v>
      </c>
      <c r="G2654" s="55" t="s">
        <v>1040</v>
      </c>
      <c r="H2654" s="50" t="s">
        <v>4891</v>
      </c>
    </row>
    <row r="2655" spans="1:9" x14ac:dyDescent="0.2">
      <c r="C2655" s="195">
        <v>44736</v>
      </c>
      <c r="D2655" s="55">
        <v>260</v>
      </c>
      <c r="E2655" s="55" t="s">
        <v>4892</v>
      </c>
      <c r="F2655" s="55" t="s">
        <v>244</v>
      </c>
      <c r="G2655" s="55" t="s">
        <v>378</v>
      </c>
      <c r="H2655" s="50" t="s">
        <v>4893</v>
      </c>
    </row>
    <row r="2656" spans="1:9" x14ac:dyDescent="0.2">
      <c r="C2656" s="195">
        <v>44732</v>
      </c>
      <c r="D2656" s="55">
        <v>280</v>
      </c>
      <c r="E2656" s="55" t="s">
        <v>4894</v>
      </c>
      <c r="F2656" s="55" t="s">
        <v>196</v>
      </c>
      <c r="G2656" s="55" t="s">
        <v>197</v>
      </c>
      <c r="H2656" s="50" t="s">
        <v>4895</v>
      </c>
    </row>
    <row r="2657" spans="1:9" x14ac:dyDescent="0.2">
      <c r="C2657" s="195">
        <v>44721</v>
      </c>
      <c r="D2657" s="55">
        <v>260</v>
      </c>
      <c r="E2657" s="55" t="s">
        <v>4896</v>
      </c>
      <c r="F2657" s="55" t="s">
        <v>206</v>
      </c>
      <c r="G2657" s="55" t="s">
        <v>228</v>
      </c>
      <c r="H2657" s="50" t="s">
        <v>4897</v>
      </c>
    </row>
    <row r="2658" spans="1:9" x14ac:dyDescent="0.2">
      <c r="C2658" s="195">
        <v>44732</v>
      </c>
      <c r="D2658" s="55">
        <v>260</v>
      </c>
      <c r="E2658" s="55" t="s">
        <v>4898</v>
      </c>
      <c r="F2658" s="55" t="s">
        <v>202</v>
      </c>
      <c r="G2658" s="55" t="s">
        <v>297</v>
      </c>
      <c r="H2658" s="50" t="s">
        <v>4899</v>
      </c>
    </row>
    <row r="2659" spans="1:9" x14ac:dyDescent="0.2">
      <c r="C2659" s="195">
        <v>44732</v>
      </c>
      <c r="D2659" s="55">
        <v>260</v>
      </c>
      <c r="E2659" s="55" t="s">
        <v>4900</v>
      </c>
      <c r="F2659" s="55" t="s">
        <v>202</v>
      </c>
      <c r="G2659" s="55" t="s">
        <v>297</v>
      </c>
      <c r="H2659" s="50" t="s">
        <v>4901</v>
      </c>
    </row>
    <row r="2660" spans="1:9" x14ac:dyDescent="0.2">
      <c r="C2660" s="195">
        <v>44741</v>
      </c>
      <c r="D2660" s="55">
        <v>260</v>
      </c>
      <c r="E2660" s="55" t="s">
        <v>4902</v>
      </c>
      <c r="F2660" s="55" t="s">
        <v>196</v>
      </c>
      <c r="G2660" s="55" t="s">
        <v>197</v>
      </c>
      <c r="H2660" s="50" t="s">
        <v>4903</v>
      </c>
    </row>
    <row r="2661" spans="1:9" x14ac:dyDescent="0.2">
      <c r="C2661" s="195">
        <v>44713</v>
      </c>
      <c r="D2661" s="55">
        <v>280</v>
      </c>
      <c r="E2661" s="55" t="s">
        <v>4904</v>
      </c>
      <c r="F2661" s="55" t="s">
        <v>267</v>
      </c>
      <c r="G2661" s="55" t="s">
        <v>268</v>
      </c>
      <c r="H2661" s="50" t="s">
        <v>4905</v>
      </c>
    </row>
    <row r="2662" spans="1:9" x14ac:dyDescent="0.2">
      <c r="C2662" s="195">
        <v>44729</v>
      </c>
      <c r="D2662" s="55">
        <v>280</v>
      </c>
      <c r="E2662" s="55" t="s">
        <v>4906</v>
      </c>
      <c r="F2662" s="55" t="s">
        <v>263</v>
      </c>
      <c r="G2662" s="55" t="s">
        <v>579</v>
      </c>
      <c r="H2662" s="50" t="s">
        <v>4907</v>
      </c>
    </row>
    <row r="2663" spans="1:9" x14ac:dyDescent="0.2">
      <c r="C2663" s="195">
        <v>44739</v>
      </c>
      <c r="D2663" s="55">
        <v>280</v>
      </c>
      <c r="E2663" s="55" t="s">
        <v>4908</v>
      </c>
      <c r="F2663" s="55" t="s">
        <v>267</v>
      </c>
      <c r="G2663" s="55" t="s">
        <v>4098</v>
      </c>
      <c r="H2663" s="50" t="s">
        <v>4909</v>
      </c>
    </row>
    <row r="2664" spans="1:9" x14ac:dyDescent="0.2">
      <c r="C2664" s="195">
        <v>44725</v>
      </c>
      <c r="D2664" s="55">
        <v>260</v>
      </c>
      <c r="E2664" s="55" t="s">
        <v>4910</v>
      </c>
      <c r="F2664" s="55" t="s">
        <v>206</v>
      </c>
      <c r="G2664" s="55" t="s">
        <v>548</v>
      </c>
      <c r="H2664" s="50" t="s">
        <v>4911</v>
      </c>
    </row>
    <row r="2665" spans="1:9" x14ac:dyDescent="0.2">
      <c r="C2665" s="195">
        <v>44740</v>
      </c>
      <c r="D2665" s="55">
        <v>280</v>
      </c>
      <c r="E2665" s="55" t="s">
        <v>4912</v>
      </c>
      <c r="F2665" s="55" t="s">
        <v>390</v>
      </c>
      <c r="G2665" s="55" t="s">
        <v>408</v>
      </c>
      <c r="H2665" s="50" t="s">
        <v>4913</v>
      </c>
    </row>
    <row r="2666" spans="1:9" x14ac:dyDescent="0.2">
      <c r="A2666" s="57">
        <v>622</v>
      </c>
      <c r="B2666" t="s">
        <v>836</v>
      </c>
      <c r="C2666" s="195">
        <v>44742</v>
      </c>
      <c r="D2666" s="55">
        <v>280</v>
      </c>
      <c r="E2666" s="55" t="s">
        <v>4914</v>
      </c>
      <c r="F2666" s="55" t="s">
        <v>231</v>
      </c>
      <c r="G2666" s="55" t="s">
        <v>1098</v>
      </c>
      <c r="I2666" s="46" t="s">
        <v>837</v>
      </c>
    </row>
    <row r="2667" spans="1:9" x14ac:dyDescent="0.2">
      <c r="C2667" s="195">
        <v>44718</v>
      </c>
      <c r="D2667" s="55">
        <v>260</v>
      </c>
      <c r="E2667" s="55" t="s">
        <v>4915</v>
      </c>
      <c r="F2667" s="55" t="s">
        <v>267</v>
      </c>
      <c r="G2667" s="55" t="s">
        <v>442</v>
      </c>
      <c r="H2667" s="50" t="s">
        <v>4916</v>
      </c>
    </row>
    <row r="2668" spans="1:9" x14ac:dyDescent="0.2">
      <c r="C2668" s="195">
        <v>44715</v>
      </c>
      <c r="D2668" s="55">
        <v>280</v>
      </c>
      <c r="E2668" s="55" t="s">
        <v>4917</v>
      </c>
      <c r="F2668" s="55" t="s">
        <v>202</v>
      </c>
      <c r="G2668" s="55" t="s">
        <v>344</v>
      </c>
    </row>
    <row r="2669" spans="1:9" x14ac:dyDescent="0.2">
      <c r="C2669" s="195">
        <v>44727</v>
      </c>
      <c r="D2669" s="55">
        <v>260</v>
      </c>
      <c r="E2669" s="55" t="s">
        <v>4918</v>
      </c>
      <c r="F2669" s="55" t="s">
        <v>202</v>
      </c>
      <c r="G2669" s="55" t="s">
        <v>1146</v>
      </c>
      <c r="H2669" s="50" t="s">
        <v>4919</v>
      </c>
    </row>
    <row r="2670" spans="1:9" x14ac:dyDescent="0.2">
      <c r="C2670" s="195">
        <v>44742</v>
      </c>
      <c r="D2670" s="55">
        <v>260</v>
      </c>
      <c r="E2670" s="55" t="s">
        <v>4920</v>
      </c>
      <c r="F2670" s="55" t="s">
        <v>272</v>
      </c>
      <c r="G2670" s="55" t="s">
        <v>273</v>
      </c>
      <c r="H2670" s="50" t="s">
        <v>4921</v>
      </c>
    </row>
    <row r="2671" spans="1:9" x14ac:dyDescent="0.2">
      <c r="C2671" s="195">
        <v>44727</v>
      </c>
      <c r="D2671" s="55">
        <v>280</v>
      </c>
      <c r="E2671" s="55" t="s">
        <v>4922</v>
      </c>
      <c r="F2671" s="55" t="s">
        <v>263</v>
      </c>
      <c r="G2671" s="55" t="s">
        <v>579</v>
      </c>
      <c r="H2671" s="50" t="s">
        <v>4923</v>
      </c>
    </row>
    <row r="2672" spans="1:9" x14ac:dyDescent="0.2">
      <c r="C2672" s="195">
        <v>44726</v>
      </c>
      <c r="D2672" s="55">
        <v>280</v>
      </c>
      <c r="E2672" s="55" t="s">
        <v>4924</v>
      </c>
      <c r="F2672" s="55" t="s">
        <v>263</v>
      </c>
      <c r="G2672" s="55" t="s">
        <v>579</v>
      </c>
      <c r="H2672" s="50" t="s">
        <v>4925</v>
      </c>
    </row>
    <row r="2673" spans="1:62" x14ac:dyDescent="0.2">
      <c r="C2673" s="195">
        <v>44726</v>
      </c>
      <c r="D2673" s="55">
        <v>280</v>
      </c>
      <c r="E2673" s="55" t="s">
        <v>4926</v>
      </c>
      <c r="F2673" s="55" t="s">
        <v>231</v>
      </c>
      <c r="G2673" s="55" t="s">
        <v>421</v>
      </c>
      <c r="H2673" s="50" t="s">
        <v>224</v>
      </c>
    </row>
    <row r="2674" spans="1:62" x14ac:dyDescent="0.2">
      <c r="C2674" s="195">
        <v>44715</v>
      </c>
      <c r="D2674" s="55">
        <v>260</v>
      </c>
      <c r="E2674" s="55" t="s">
        <v>4927</v>
      </c>
      <c r="F2674" s="55" t="s">
        <v>210</v>
      </c>
      <c r="G2674" s="55" t="s">
        <v>235</v>
      </c>
      <c r="H2674" s="50" t="s">
        <v>4928</v>
      </c>
    </row>
    <row r="2675" spans="1:62" x14ac:dyDescent="0.2">
      <c r="C2675" s="195">
        <v>44736</v>
      </c>
      <c r="D2675" s="55">
        <v>260</v>
      </c>
      <c r="E2675" s="55" t="s">
        <v>4929</v>
      </c>
      <c r="F2675" s="55" t="s">
        <v>390</v>
      </c>
      <c r="G2675" s="55" t="s">
        <v>391</v>
      </c>
      <c r="H2675" s="50" t="s">
        <v>4930</v>
      </c>
    </row>
    <row r="2676" spans="1:62" x14ac:dyDescent="0.2">
      <c r="C2676" s="195">
        <v>44728</v>
      </c>
      <c r="D2676" s="55">
        <v>280</v>
      </c>
      <c r="E2676" s="55" t="s">
        <v>4931</v>
      </c>
      <c r="F2676" s="55" t="s">
        <v>390</v>
      </c>
      <c r="G2676" s="55" t="s">
        <v>490</v>
      </c>
      <c r="H2676" s="50" t="s">
        <v>4932</v>
      </c>
    </row>
    <row r="2677" spans="1:62" x14ac:dyDescent="0.2">
      <c r="C2677" s="195">
        <v>44713</v>
      </c>
      <c r="D2677" s="55">
        <v>260</v>
      </c>
      <c r="E2677" s="55" t="s">
        <v>4933</v>
      </c>
      <c r="F2677" s="55" t="s">
        <v>244</v>
      </c>
      <c r="G2677" s="55" t="s">
        <v>378</v>
      </c>
      <c r="H2677" s="50" t="s">
        <v>4934</v>
      </c>
    </row>
    <row r="2678" spans="1:62" x14ac:dyDescent="0.2">
      <c r="C2678" s="195">
        <v>44736</v>
      </c>
      <c r="D2678" s="55">
        <v>260</v>
      </c>
      <c r="E2678" s="55" t="s">
        <v>4935</v>
      </c>
      <c r="F2678" s="55" t="s">
        <v>231</v>
      </c>
      <c r="G2678" s="55" t="s">
        <v>371</v>
      </c>
      <c r="H2678" s="50" t="s">
        <v>4936</v>
      </c>
    </row>
    <row r="2679" spans="1:62" x14ac:dyDescent="0.2">
      <c r="C2679" s="195">
        <v>44718</v>
      </c>
      <c r="D2679" s="55">
        <v>260</v>
      </c>
      <c r="E2679" s="55" t="s">
        <v>4937</v>
      </c>
      <c r="F2679" s="55" t="s">
        <v>272</v>
      </c>
      <c r="G2679" s="55" t="s">
        <v>1040</v>
      </c>
      <c r="H2679" s="50" t="s">
        <v>4938</v>
      </c>
    </row>
    <row r="2680" spans="1:62" x14ac:dyDescent="0.2">
      <c r="C2680" s="195">
        <v>44722</v>
      </c>
      <c r="D2680" s="55">
        <v>260</v>
      </c>
      <c r="E2680" s="55" t="s">
        <v>4939</v>
      </c>
      <c r="F2680" s="55" t="s">
        <v>192</v>
      </c>
      <c r="G2680" s="55" t="s">
        <v>401</v>
      </c>
      <c r="H2680" s="50" t="s">
        <v>224</v>
      </c>
    </row>
    <row r="2681" spans="1:62" x14ac:dyDescent="0.2">
      <c r="C2681" s="195">
        <v>44722</v>
      </c>
      <c r="D2681" s="55">
        <v>260</v>
      </c>
      <c r="E2681" s="55" t="s">
        <v>4940</v>
      </c>
      <c r="F2681" s="55" t="s">
        <v>196</v>
      </c>
      <c r="G2681" s="55" t="s">
        <v>352</v>
      </c>
      <c r="H2681" s="50" t="s">
        <v>4941</v>
      </c>
    </row>
    <row r="2682" spans="1:62" x14ac:dyDescent="0.2">
      <c r="C2682" s="195">
        <v>44726</v>
      </c>
      <c r="D2682" s="55">
        <v>280</v>
      </c>
      <c r="E2682" s="55" t="s">
        <v>4942</v>
      </c>
      <c r="F2682" s="55" t="s">
        <v>390</v>
      </c>
      <c r="G2682" s="55" t="s">
        <v>1717</v>
      </c>
      <c r="H2682" s="50" t="s">
        <v>224</v>
      </c>
    </row>
    <row r="2683" spans="1:62" x14ac:dyDescent="0.2">
      <c r="C2683" s="195">
        <v>44733</v>
      </c>
      <c r="D2683" s="55">
        <v>260</v>
      </c>
      <c r="E2683" s="55" t="s">
        <v>4943</v>
      </c>
      <c r="F2683" s="55" t="s">
        <v>263</v>
      </c>
      <c r="G2683" s="55" t="s">
        <v>633</v>
      </c>
      <c r="H2683" s="50" t="s">
        <v>4944</v>
      </c>
    </row>
    <row r="2684" spans="1:62" x14ac:dyDescent="0.2">
      <c r="A2684" s="57">
        <v>622</v>
      </c>
      <c r="B2684" t="s">
        <v>836</v>
      </c>
      <c r="C2684" s="195">
        <v>44722</v>
      </c>
      <c r="D2684" s="55">
        <v>260</v>
      </c>
      <c r="E2684" s="55" t="s">
        <v>4945</v>
      </c>
      <c r="F2684" s="55" t="s">
        <v>219</v>
      </c>
      <c r="G2684" s="55" t="s">
        <v>249</v>
      </c>
      <c r="H2684" s="50" t="s">
        <v>224</v>
      </c>
      <c r="I2684" s="46" t="s">
        <v>839</v>
      </c>
      <c r="J2684" s="52">
        <v>1</v>
      </c>
      <c r="K2684" s="52">
        <v>2</v>
      </c>
      <c r="O2684" s="1">
        <v>1</v>
      </c>
      <c r="S2684" s="1">
        <v>1</v>
      </c>
      <c r="W2684" s="1">
        <v>2</v>
      </c>
      <c r="AA2684" s="1">
        <v>1</v>
      </c>
      <c r="AG2684">
        <v>1</v>
      </c>
      <c r="AM2684">
        <v>5</v>
      </c>
      <c r="AS2684">
        <v>5</v>
      </c>
      <c r="AT2684">
        <v>1</v>
      </c>
      <c r="AU2684">
        <v>1</v>
      </c>
      <c r="AZ2684">
        <v>1</v>
      </c>
      <c r="BA2684">
        <v>1</v>
      </c>
      <c r="BB2684">
        <v>1</v>
      </c>
      <c r="BC2684">
        <v>1</v>
      </c>
      <c r="BD2684">
        <v>1</v>
      </c>
      <c r="BE2684">
        <v>1</v>
      </c>
      <c r="BJ2684">
        <v>1</v>
      </c>
    </row>
    <row r="2685" spans="1:62" x14ac:dyDescent="0.2">
      <c r="C2685" s="195">
        <v>44735</v>
      </c>
      <c r="D2685" s="55">
        <v>260</v>
      </c>
      <c r="E2685" s="55" t="s">
        <v>4946</v>
      </c>
      <c r="F2685" s="55" t="s">
        <v>210</v>
      </c>
      <c r="G2685" s="55" t="s">
        <v>508</v>
      </c>
      <c r="H2685" s="50" t="s">
        <v>4947</v>
      </c>
    </row>
    <row r="2686" spans="1:62" x14ac:dyDescent="0.2">
      <c r="C2686" s="195">
        <v>44719</v>
      </c>
      <c r="D2686" s="55">
        <v>280</v>
      </c>
      <c r="E2686" s="55" t="s">
        <v>4948</v>
      </c>
      <c r="F2686" s="55" t="s">
        <v>196</v>
      </c>
      <c r="G2686" s="55" t="s">
        <v>415</v>
      </c>
      <c r="H2686" s="50" t="s">
        <v>4949</v>
      </c>
    </row>
    <row r="2687" spans="1:62" x14ac:dyDescent="0.2">
      <c r="C2687" s="195">
        <v>44736</v>
      </c>
      <c r="D2687" s="55">
        <v>260</v>
      </c>
      <c r="E2687" s="55" t="s">
        <v>4950</v>
      </c>
      <c r="F2687" s="55" t="s">
        <v>390</v>
      </c>
      <c r="G2687" s="55" t="s">
        <v>1446</v>
      </c>
      <c r="H2687" s="50" t="s">
        <v>224</v>
      </c>
    </row>
    <row r="2688" spans="1:62" x14ac:dyDescent="0.2">
      <c r="C2688" s="195">
        <v>44721</v>
      </c>
      <c r="D2688" s="55">
        <v>260</v>
      </c>
      <c r="E2688" s="55" t="s">
        <v>4951</v>
      </c>
      <c r="F2688" s="55" t="s">
        <v>206</v>
      </c>
      <c r="G2688" s="55" t="s">
        <v>228</v>
      </c>
      <c r="H2688" s="50" t="s">
        <v>4952</v>
      </c>
    </row>
    <row r="2689" spans="3:8" x14ac:dyDescent="0.2">
      <c r="C2689" s="195">
        <v>44722</v>
      </c>
      <c r="D2689" s="55">
        <v>280</v>
      </c>
      <c r="E2689" s="55" t="s">
        <v>4953</v>
      </c>
      <c r="F2689" s="55" t="s">
        <v>390</v>
      </c>
      <c r="G2689" s="55" t="s">
        <v>408</v>
      </c>
      <c r="H2689" s="50" t="s">
        <v>4954</v>
      </c>
    </row>
    <row r="2690" spans="3:8" x14ac:dyDescent="0.2">
      <c r="C2690" s="195">
        <v>44722</v>
      </c>
      <c r="D2690" s="55">
        <v>260</v>
      </c>
      <c r="E2690" s="55" t="s">
        <v>4955</v>
      </c>
      <c r="F2690" s="55" t="s">
        <v>219</v>
      </c>
      <c r="G2690" s="55" t="s">
        <v>540</v>
      </c>
      <c r="H2690" s="50" t="s">
        <v>4956</v>
      </c>
    </row>
    <row r="2691" spans="3:8" x14ac:dyDescent="0.2">
      <c r="C2691" s="195">
        <v>44736</v>
      </c>
      <c r="D2691" s="55">
        <v>260</v>
      </c>
      <c r="E2691" s="55" t="s">
        <v>4957</v>
      </c>
      <c r="F2691" s="55" t="s">
        <v>210</v>
      </c>
      <c r="G2691" s="55" t="s">
        <v>235</v>
      </c>
      <c r="H2691" s="50" t="s">
        <v>4958</v>
      </c>
    </row>
    <row r="2692" spans="3:8" x14ac:dyDescent="0.2">
      <c r="C2692" s="195">
        <v>44734</v>
      </c>
      <c r="D2692" s="55">
        <v>280</v>
      </c>
      <c r="E2692" s="55" t="s">
        <v>4959</v>
      </c>
      <c r="F2692" s="55" t="s">
        <v>244</v>
      </c>
      <c r="G2692" s="55" t="s">
        <v>393</v>
      </c>
      <c r="H2692" s="50" t="s">
        <v>4960</v>
      </c>
    </row>
    <row r="2693" spans="3:8" x14ac:dyDescent="0.2">
      <c r="C2693" s="195">
        <v>44718</v>
      </c>
      <c r="D2693" s="55">
        <v>280</v>
      </c>
      <c r="E2693" s="55" t="s">
        <v>4961</v>
      </c>
      <c r="F2693" s="55" t="s">
        <v>267</v>
      </c>
      <c r="G2693" s="55" t="s">
        <v>331</v>
      </c>
      <c r="H2693" s="50" t="s">
        <v>224</v>
      </c>
    </row>
    <row r="2694" spans="3:8" x14ac:dyDescent="0.2">
      <c r="C2694" s="195">
        <v>44739</v>
      </c>
      <c r="D2694" s="55">
        <v>280</v>
      </c>
      <c r="E2694" s="55" t="s">
        <v>4962</v>
      </c>
      <c r="F2694" s="55" t="s">
        <v>196</v>
      </c>
      <c r="G2694" s="55" t="s">
        <v>498</v>
      </c>
      <c r="H2694" s="50" t="s">
        <v>4963</v>
      </c>
    </row>
    <row r="2695" spans="3:8" x14ac:dyDescent="0.2">
      <c r="C2695" s="195">
        <v>44739</v>
      </c>
      <c r="D2695" s="55">
        <v>280</v>
      </c>
      <c r="E2695" s="55" t="s">
        <v>4964</v>
      </c>
      <c r="F2695" s="55" t="s">
        <v>231</v>
      </c>
      <c r="G2695" s="55" t="s">
        <v>421</v>
      </c>
      <c r="H2695" s="50" t="s">
        <v>4965</v>
      </c>
    </row>
    <row r="2696" spans="3:8" x14ac:dyDescent="0.2">
      <c r="C2696" s="195">
        <v>44729</v>
      </c>
      <c r="D2696" s="55">
        <v>280</v>
      </c>
      <c r="E2696" s="55" t="s">
        <v>4966</v>
      </c>
      <c r="F2696" s="55" t="s">
        <v>192</v>
      </c>
      <c r="G2696" s="55" t="s">
        <v>640</v>
      </c>
      <c r="H2696" s="50" t="s">
        <v>4967</v>
      </c>
    </row>
    <row r="2697" spans="3:8" x14ac:dyDescent="0.2">
      <c r="C2697" s="195">
        <v>44729</v>
      </c>
      <c r="D2697" s="55">
        <v>260</v>
      </c>
      <c r="E2697" s="55" t="s">
        <v>4968</v>
      </c>
      <c r="F2697" s="55" t="s">
        <v>390</v>
      </c>
      <c r="G2697" s="55" t="s">
        <v>779</v>
      </c>
      <c r="H2697" s="50" t="s">
        <v>4969</v>
      </c>
    </row>
    <row r="2698" spans="3:8" x14ac:dyDescent="0.2">
      <c r="C2698" s="195">
        <v>44740</v>
      </c>
      <c r="D2698" s="55">
        <v>280</v>
      </c>
      <c r="E2698" s="55" t="s">
        <v>4970</v>
      </c>
      <c r="F2698" s="55" t="s">
        <v>231</v>
      </c>
      <c r="G2698" s="55" t="s">
        <v>2088</v>
      </c>
      <c r="H2698" s="50" t="s">
        <v>4971</v>
      </c>
    </row>
    <row r="2699" spans="3:8" x14ac:dyDescent="0.2">
      <c r="C2699" s="195">
        <v>44715</v>
      </c>
      <c r="D2699" s="55">
        <v>260</v>
      </c>
      <c r="E2699" s="55" t="s">
        <v>4972</v>
      </c>
      <c r="F2699" s="55" t="s">
        <v>244</v>
      </c>
      <c r="G2699" s="55" t="s">
        <v>767</v>
      </c>
      <c r="H2699" s="50" t="s">
        <v>4973</v>
      </c>
    </row>
    <row r="2700" spans="3:8" x14ac:dyDescent="0.2">
      <c r="C2700" s="195">
        <v>44729</v>
      </c>
      <c r="D2700" s="55">
        <v>280</v>
      </c>
      <c r="E2700" s="55" t="s">
        <v>4974</v>
      </c>
      <c r="F2700" s="55" t="s">
        <v>390</v>
      </c>
      <c r="G2700" s="55" t="s">
        <v>408</v>
      </c>
      <c r="H2700" s="50" t="s">
        <v>224</v>
      </c>
    </row>
    <row r="2701" spans="3:8" x14ac:dyDescent="0.2">
      <c r="C2701" s="195">
        <v>44726</v>
      </c>
      <c r="D2701" s="55">
        <v>280</v>
      </c>
      <c r="E2701" s="55" t="s">
        <v>4975</v>
      </c>
      <c r="F2701" s="55" t="s">
        <v>210</v>
      </c>
      <c r="G2701" s="55" t="s">
        <v>306</v>
      </c>
      <c r="H2701" s="50" t="s">
        <v>4976</v>
      </c>
    </row>
    <row r="2702" spans="3:8" x14ac:dyDescent="0.2">
      <c r="C2702" s="195">
        <v>44718</v>
      </c>
      <c r="D2702" s="55">
        <v>260</v>
      </c>
      <c r="E2702" s="55" t="s">
        <v>4977</v>
      </c>
      <c r="F2702" s="55" t="s">
        <v>231</v>
      </c>
      <c r="G2702" s="55" t="s">
        <v>421</v>
      </c>
      <c r="H2702" s="50" t="s">
        <v>4978</v>
      </c>
    </row>
    <row r="2703" spans="3:8" x14ac:dyDescent="0.2">
      <c r="C2703" s="195">
        <v>44732</v>
      </c>
      <c r="D2703" s="55">
        <v>280</v>
      </c>
      <c r="E2703" s="55" t="s">
        <v>4979</v>
      </c>
      <c r="F2703" s="55" t="s">
        <v>263</v>
      </c>
      <c r="G2703" s="55" t="s">
        <v>506</v>
      </c>
      <c r="H2703" s="50" t="s">
        <v>4980</v>
      </c>
    </row>
    <row r="2704" spans="3:8" x14ac:dyDescent="0.2">
      <c r="C2704" s="195">
        <v>44729</v>
      </c>
      <c r="D2704" s="55">
        <v>280</v>
      </c>
      <c r="E2704" s="55" t="s">
        <v>4981</v>
      </c>
      <c r="F2704" s="55" t="s">
        <v>390</v>
      </c>
      <c r="G2704" s="55" t="s">
        <v>391</v>
      </c>
      <c r="H2704" s="50" t="s">
        <v>4982</v>
      </c>
    </row>
    <row r="2705" spans="1:9" x14ac:dyDescent="0.2">
      <c r="C2705" s="195">
        <v>44735</v>
      </c>
      <c r="D2705" s="55">
        <v>280</v>
      </c>
      <c r="E2705" s="55" t="s">
        <v>4983</v>
      </c>
      <c r="F2705" s="55" t="s">
        <v>196</v>
      </c>
      <c r="G2705" s="55" t="s">
        <v>645</v>
      </c>
      <c r="H2705" s="50" t="s">
        <v>4984</v>
      </c>
    </row>
    <row r="2706" spans="1:9" x14ac:dyDescent="0.2">
      <c r="C2706" s="195">
        <v>44742</v>
      </c>
      <c r="D2706" s="55">
        <v>260</v>
      </c>
      <c r="E2706" s="55" t="s">
        <v>4985</v>
      </c>
      <c r="F2706" s="55" t="s">
        <v>206</v>
      </c>
      <c r="G2706" s="55" t="s">
        <v>568</v>
      </c>
      <c r="H2706" s="50" t="s">
        <v>4986</v>
      </c>
    </row>
    <row r="2707" spans="1:9" x14ac:dyDescent="0.2">
      <c r="C2707" s="195">
        <v>44714</v>
      </c>
      <c r="D2707" s="55">
        <v>280</v>
      </c>
      <c r="E2707" s="55" t="s">
        <v>4987</v>
      </c>
      <c r="F2707" s="55" t="s">
        <v>210</v>
      </c>
      <c r="G2707" s="55" t="s">
        <v>211</v>
      </c>
      <c r="H2707" s="50" t="s">
        <v>4988</v>
      </c>
    </row>
    <row r="2708" spans="1:9" x14ac:dyDescent="0.2">
      <c r="C2708" s="195">
        <v>44735</v>
      </c>
      <c r="D2708" s="55">
        <v>260</v>
      </c>
      <c r="E2708" s="55" t="s">
        <v>4989</v>
      </c>
      <c r="F2708" s="55" t="s">
        <v>210</v>
      </c>
      <c r="G2708" s="55" t="s">
        <v>883</v>
      </c>
      <c r="H2708" s="50" t="s">
        <v>4990</v>
      </c>
    </row>
    <row r="2709" spans="1:9" x14ac:dyDescent="0.2">
      <c r="C2709" s="195">
        <v>44741</v>
      </c>
      <c r="D2709" s="55">
        <v>260</v>
      </c>
      <c r="E2709" s="55" t="s">
        <v>4991</v>
      </c>
      <c r="F2709" s="55" t="s">
        <v>244</v>
      </c>
      <c r="G2709" s="55" t="s">
        <v>378</v>
      </c>
      <c r="H2709" s="50" t="s">
        <v>4992</v>
      </c>
    </row>
    <row r="2710" spans="1:9" x14ac:dyDescent="0.2">
      <c r="C2710" s="195">
        <v>44740</v>
      </c>
      <c r="D2710" s="55">
        <v>260</v>
      </c>
      <c r="E2710" s="55" t="s">
        <v>4993</v>
      </c>
      <c r="F2710" s="55" t="s">
        <v>291</v>
      </c>
      <c r="G2710" s="55" t="s">
        <v>819</v>
      </c>
      <c r="H2710" s="50" t="s">
        <v>4994</v>
      </c>
    </row>
    <row r="2711" spans="1:9" x14ac:dyDescent="0.2">
      <c r="C2711" s="195">
        <v>44742</v>
      </c>
      <c r="D2711" s="55">
        <v>260</v>
      </c>
      <c r="E2711" s="55" t="s">
        <v>4995</v>
      </c>
      <c r="F2711" s="55" t="s">
        <v>192</v>
      </c>
      <c r="G2711" s="55" t="s">
        <v>258</v>
      </c>
      <c r="H2711" s="50" t="s">
        <v>4996</v>
      </c>
    </row>
    <row r="2712" spans="1:9" x14ac:dyDescent="0.2">
      <c r="C2712" s="195">
        <v>44722</v>
      </c>
      <c r="D2712" s="55">
        <v>280</v>
      </c>
      <c r="E2712" s="55" t="s">
        <v>4997</v>
      </c>
      <c r="F2712" s="55" t="s">
        <v>231</v>
      </c>
      <c r="G2712" s="55" t="s">
        <v>255</v>
      </c>
      <c r="H2712" s="50" t="s">
        <v>4998</v>
      </c>
    </row>
    <row r="2713" spans="1:9" x14ac:dyDescent="0.2">
      <c r="C2713" s="195">
        <v>44739</v>
      </c>
      <c r="D2713" s="55">
        <v>280</v>
      </c>
      <c r="E2713" s="55" t="s">
        <v>4999</v>
      </c>
      <c r="F2713" s="55" t="s">
        <v>291</v>
      </c>
      <c r="G2713" s="55" t="s">
        <v>480</v>
      </c>
      <c r="H2713" s="50" t="s">
        <v>224</v>
      </c>
    </row>
    <row r="2714" spans="1:9" x14ac:dyDescent="0.2">
      <c r="A2714" s="57">
        <v>622</v>
      </c>
      <c r="B2714" t="s">
        <v>836</v>
      </c>
      <c r="C2714" s="195">
        <v>44742</v>
      </c>
      <c r="D2714" s="55">
        <v>280</v>
      </c>
      <c r="E2714" s="55" t="s">
        <v>5000</v>
      </c>
      <c r="F2714" s="55" t="s">
        <v>272</v>
      </c>
      <c r="G2714" s="55" t="s">
        <v>273</v>
      </c>
      <c r="H2714" s="50" t="s">
        <v>5001</v>
      </c>
      <c r="I2714" s="46" t="s">
        <v>837</v>
      </c>
    </row>
    <row r="2715" spans="1:9" x14ac:dyDescent="0.2">
      <c r="A2715" s="57">
        <v>622</v>
      </c>
      <c r="B2715" t="s">
        <v>836</v>
      </c>
      <c r="C2715" s="195">
        <v>44739</v>
      </c>
      <c r="D2715" s="55">
        <v>280</v>
      </c>
      <c r="E2715" s="55" t="s">
        <v>5002</v>
      </c>
      <c r="F2715" s="55" t="s">
        <v>219</v>
      </c>
      <c r="G2715" s="55" t="s">
        <v>223</v>
      </c>
      <c r="H2715" s="50" t="s">
        <v>224</v>
      </c>
      <c r="I2715" s="46" t="s">
        <v>837</v>
      </c>
    </row>
    <row r="2716" spans="1:9" x14ac:dyDescent="0.2">
      <c r="C2716" s="195">
        <v>44740</v>
      </c>
      <c r="D2716" s="55">
        <v>280</v>
      </c>
      <c r="E2716" s="55" t="s">
        <v>5003</v>
      </c>
      <c r="F2716" s="55" t="s">
        <v>196</v>
      </c>
      <c r="G2716" s="55" t="s">
        <v>349</v>
      </c>
      <c r="H2716" s="50" t="s">
        <v>5004</v>
      </c>
    </row>
    <row r="2717" spans="1:9" x14ac:dyDescent="0.2">
      <c r="C2717" s="195">
        <v>44720</v>
      </c>
      <c r="D2717" s="55">
        <v>260</v>
      </c>
      <c r="E2717" s="55" t="s">
        <v>5005</v>
      </c>
      <c r="F2717" s="55" t="s">
        <v>202</v>
      </c>
      <c r="G2717" s="55" t="s">
        <v>302</v>
      </c>
      <c r="H2717" s="50" t="s">
        <v>5006</v>
      </c>
    </row>
    <row r="2718" spans="1:9" x14ac:dyDescent="0.2">
      <c r="C2718" s="195">
        <v>44736</v>
      </c>
      <c r="D2718" s="55">
        <v>260</v>
      </c>
      <c r="E2718" s="55" t="s">
        <v>5007</v>
      </c>
      <c r="F2718" s="55" t="s">
        <v>192</v>
      </c>
      <c r="G2718" s="55" t="s">
        <v>324</v>
      </c>
      <c r="H2718" s="50" t="s">
        <v>5008</v>
      </c>
    </row>
    <row r="2719" spans="1:9" x14ac:dyDescent="0.2">
      <c r="C2719" s="195">
        <v>44739</v>
      </c>
      <c r="D2719" s="55">
        <v>260</v>
      </c>
      <c r="E2719" s="55" t="s">
        <v>5009</v>
      </c>
      <c r="F2719" s="55" t="s">
        <v>196</v>
      </c>
      <c r="G2719" s="55" t="s">
        <v>415</v>
      </c>
      <c r="H2719" s="50" t="s">
        <v>5010</v>
      </c>
    </row>
    <row r="2720" spans="1:9" x14ac:dyDescent="0.2">
      <c r="C2720" s="195">
        <v>44722</v>
      </c>
      <c r="D2720" s="55">
        <v>280</v>
      </c>
      <c r="E2720" s="55" t="s">
        <v>5011</v>
      </c>
      <c r="F2720" s="55" t="s">
        <v>219</v>
      </c>
      <c r="G2720" s="55" t="s">
        <v>223</v>
      </c>
      <c r="H2720" s="50" t="s">
        <v>5012</v>
      </c>
    </row>
    <row r="2721" spans="3:8" x14ac:dyDescent="0.2">
      <c r="C2721" s="195">
        <v>44742</v>
      </c>
      <c r="D2721" s="55">
        <v>260</v>
      </c>
      <c r="E2721" s="55" t="s">
        <v>5013</v>
      </c>
      <c r="F2721" s="55" t="s">
        <v>390</v>
      </c>
      <c r="G2721" s="55" t="s">
        <v>490</v>
      </c>
      <c r="H2721" s="50" t="s">
        <v>5014</v>
      </c>
    </row>
    <row r="2722" spans="3:8" x14ac:dyDescent="0.2">
      <c r="C2722" s="195">
        <v>44734</v>
      </c>
      <c r="D2722" s="55">
        <v>260</v>
      </c>
      <c r="E2722" s="55" t="s">
        <v>5015</v>
      </c>
      <c r="F2722" s="55" t="s">
        <v>192</v>
      </c>
      <c r="G2722" s="55" t="s">
        <v>487</v>
      </c>
      <c r="H2722" s="50" t="s">
        <v>5016</v>
      </c>
    </row>
    <row r="2723" spans="3:8" x14ac:dyDescent="0.2">
      <c r="C2723" s="195">
        <v>44722</v>
      </c>
      <c r="D2723" s="55">
        <v>260</v>
      </c>
      <c r="E2723" s="55" t="s">
        <v>5017</v>
      </c>
      <c r="F2723" s="55" t="s">
        <v>219</v>
      </c>
      <c r="G2723" s="55" t="s">
        <v>451</v>
      </c>
      <c r="H2723" s="50" t="s">
        <v>224</v>
      </c>
    </row>
    <row r="2724" spans="3:8" x14ac:dyDescent="0.2">
      <c r="C2724" s="195">
        <v>44732</v>
      </c>
      <c r="D2724" s="55">
        <v>260</v>
      </c>
      <c r="E2724" s="55" t="s">
        <v>5018</v>
      </c>
      <c r="F2724" s="55" t="s">
        <v>202</v>
      </c>
      <c r="G2724" s="55" t="s">
        <v>203</v>
      </c>
      <c r="H2724" s="50" t="s">
        <v>5019</v>
      </c>
    </row>
    <row r="2725" spans="3:8" x14ac:dyDescent="0.2">
      <c r="C2725" s="195">
        <v>44728</v>
      </c>
      <c r="D2725" s="55">
        <v>260</v>
      </c>
      <c r="E2725" s="55" t="s">
        <v>5020</v>
      </c>
      <c r="F2725" s="55" t="s">
        <v>219</v>
      </c>
      <c r="G2725" s="55" t="s">
        <v>540</v>
      </c>
      <c r="H2725" s="50" t="s">
        <v>5021</v>
      </c>
    </row>
    <row r="2726" spans="3:8" x14ac:dyDescent="0.2">
      <c r="C2726" s="195">
        <v>44720</v>
      </c>
      <c r="D2726" s="55">
        <v>280</v>
      </c>
      <c r="E2726" s="55" t="s">
        <v>5022</v>
      </c>
      <c r="F2726" s="55" t="s">
        <v>231</v>
      </c>
      <c r="G2726" s="55" t="s">
        <v>648</v>
      </c>
      <c r="H2726" s="50" t="s">
        <v>5023</v>
      </c>
    </row>
    <row r="2727" spans="3:8" x14ac:dyDescent="0.2">
      <c r="C2727" s="195">
        <v>44727</v>
      </c>
      <c r="D2727" s="55">
        <v>280</v>
      </c>
      <c r="E2727" s="55" t="s">
        <v>5024</v>
      </c>
      <c r="F2727" s="55" t="s">
        <v>244</v>
      </c>
      <c r="G2727" s="55" t="s">
        <v>767</v>
      </c>
      <c r="H2727" s="50" t="s">
        <v>224</v>
      </c>
    </row>
    <row r="2728" spans="3:8" x14ac:dyDescent="0.2">
      <c r="C2728" s="195">
        <v>44721</v>
      </c>
      <c r="D2728" s="55">
        <v>260</v>
      </c>
      <c r="E2728" s="55" t="s">
        <v>5025</v>
      </c>
      <c r="F2728" s="55" t="s">
        <v>210</v>
      </c>
      <c r="G2728" s="55" t="s">
        <v>496</v>
      </c>
      <c r="H2728" s="50" t="s">
        <v>224</v>
      </c>
    </row>
    <row r="2729" spans="3:8" x14ac:dyDescent="0.2">
      <c r="C2729" s="195">
        <v>44727</v>
      </c>
      <c r="D2729" s="55">
        <v>280</v>
      </c>
      <c r="E2729" s="55" t="s">
        <v>5026</v>
      </c>
      <c r="F2729" s="55" t="s">
        <v>244</v>
      </c>
      <c r="G2729" s="55" t="s">
        <v>294</v>
      </c>
      <c r="H2729" s="50" t="s">
        <v>5027</v>
      </c>
    </row>
    <row r="2730" spans="3:8" x14ac:dyDescent="0.2">
      <c r="C2730" s="195">
        <v>44742</v>
      </c>
      <c r="D2730" s="55">
        <v>260</v>
      </c>
      <c r="E2730" s="55" t="s">
        <v>5028</v>
      </c>
      <c r="F2730" s="55" t="s">
        <v>291</v>
      </c>
      <c r="G2730" s="55" t="s">
        <v>480</v>
      </c>
      <c r="H2730" s="50" t="s">
        <v>5029</v>
      </c>
    </row>
    <row r="2731" spans="3:8" x14ac:dyDescent="0.2">
      <c r="C2731" s="195">
        <v>44735</v>
      </c>
      <c r="D2731" s="55">
        <v>260</v>
      </c>
      <c r="E2731" s="55" t="s">
        <v>5030</v>
      </c>
      <c r="F2731" s="55" t="s">
        <v>196</v>
      </c>
      <c r="G2731" s="55" t="s">
        <v>415</v>
      </c>
      <c r="H2731" s="50" t="s">
        <v>5031</v>
      </c>
    </row>
    <row r="2732" spans="3:8" x14ac:dyDescent="0.2">
      <c r="C2732" s="195">
        <v>44715</v>
      </c>
      <c r="D2732" s="55">
        <v>260</v>
      </c>
      <c r="E2732" s="55" t="s">
        <v>5032</v>
      </c>
      <c r="F2732" s="55" t="s">
        <v>202</v>
      </c>
      <c r="G2732" s="55" t="s">
        <v>344</v>
      </c>
      <c r="H2732" s="50" t="s">
        <v>5033</v>
      </c>
    </row>
    <row r="2733" spans="3:8" x14ac:dyDescent="0.2">
      <c r="C2733" s="195">
        <v>44740</v>
      </c>
      <c r="D2733" s="55">
        <v>260</v>
      </c>
      <c r="E2733" s="55" t="s">
        <v>5034</v>
      </c>
      <c r="F2733" s="55" t="s">
        <v>267</v>
      </c>
      <c r="G2733" s="55" t="s">
        <v>442</v>
      </c>
      <c r="H2733" s="50" t="s">
        <v>5035</v>
      </c>
    </row>
    <row r="2734" spans="3:8" x14ac:dyDescent="0.2">
      <c r="C2734" s="195">
        <v>44726</v>
      </c>
      <c r="D2734" s="55">
        <v>280</v>
      </c>
      <c r="E2734" s="55" t="s">
        <v>5036</v>
      </c>
      <c r="F2734" s="55" t="s">
        <v>263</v>
      </c>
      <c r="G2734" s="55" t="s">
        <v>579</v>
      </c>
      <c r="H2734" s="50" t="s">
        <v>5037</v>
      </c>
    </row>
    <row r="2735" spans="3:8" x14ac:dyDescent="0.2">
      <c r="C2735" s="195">
        <v>44714</v>
      </c>
      <c r="D2735" s="55">
        <v>280</v>
      </c>
      <c r="E2735" s="55" t="s">
        <v>5038</v>
      </c>
      <c r="F2735" s="55" t="s">
        <v>206</v>
      </c>
      <c r="G2735" s="55" t="s">
        <v>568</v>
      </c>
      <c r="H2735" s="50" t="s">
        <v>5039</v>
      </c>
    </row>
    <row r="2736" spans="3:8" x14ac:dyDescent="0.2">
      <c r="C2736" s="195">
        <v>44734</v>
      </c>
      <c r="D2736" s="55">
        <v>280</v>
      </c>
      <c r="E2736" s="55" t="s">
        <v>5040</v>
      </c>
      <c r="F2736" s="55" t="s">
        <v>196</v>
      </c>
      <c r="G2736" s="55" t="s">
        <v>415</v>
      </c>
      <c r="H2736" s="50" t="s">
        <v>5041</v>
      </c>
    </row>
    <row r="2737" spans="3:8" x14ac:dyDescent="0.2">
      <c r="C2737" s="195">
        <v>44713</v>
      </c>
      <c r="D2737" s="55">
        <v>260</v>
      </c>
      <c r="E2737" s="55" t="s">
        <v>5042</v>
      </c>
      <c r="F2737" s="55" t="s">
        <v>210</v>
      </c>
      <c r="G2737" s="55" t="s">
        <v>883</v>
      </c>
      <c r="H2737" s="50" t="s">
        <v>5043</v>
      </c>
    </row>
    <row r="2738" spans="3:8" x14ac:dyDescent="0.2">
      <c r="C2738" s="195">
        <v>44715</v>
      </c>
      <c r="D2738" s="55">
        <v>280</v>
      </c>
      <c r="E2738" s="55" t="s">
        <v>5044</v>
      </c>
      <c r="F2738" s="55" t="s">
        <v>206</v>
      </c>
      <c r="G2738" s="55" t="s">
        <v>228</v>
      </c>
      <c r="H2738" s="50" t="s">
        <v>5045</v>
      </c>
    </row>
    <row r="2739" spans="3:8" x14ac:dyDescent="0.2">
      <c r="C2739" s="195">
        <v>44728</v>
      </c>
      <c r="D2739" s="55">
        <v>260</v>
      </c>
      <c r="E2739" s="55" t="s">
        <v>5046</v>
      </c>
      <c r="F2739" s="55" t="s">
        <v>291</v>
      </c>
      <c r="G2739" s="55" t="s">
        <v>480</v>
      </c>
      <c r="H2739" s="50" t="s">
        <v>5047</v>
      </c>
    </row>
    <row r="2740" spans="3:8" x14ac:dyDescent="0.2">
      <c r="C2740" s="195">
        <v>44736</v>
      </c>
      <c r="D2740" s="55">
        <v>260</v>
      </c>
      <c r="E2740" s="55" t="s">
        <v>5048</v>
      </c>
      <c r="F2740" s="55" t="s">
        <v>231</v>
      </c>
      <c r="G2740" s="55" t="s">
        <v>782</v>
      </c>
      <c r="H2740" s="50" t="s">
        <v>5049</v>
      </c>
    </row>
    <row r="2741" spans="3:8" x14ac:dyDescent="0.2">
      <c r="C2741" s="195">
        <v>44725</v>
      </c>
      <c r="D2741" s="55">
        <v>260</v>
      </c>
      <c r="E2741" s="55" t="s">
        <v>5050</v>
      </c>
      <c r="F2741" s="55" t="s">
        <v>210</v>
      </c>
      <c r="G2741" s="55" t="s">
        <v>1095</v>
      </c>
      <c r="H2741" s="50" t="s">
        <v>224</v>
      </c>
    </row>
    <row r="2742" spans="3:8" x14ac:dyDescent="0.2">
      <c r="C2742" s="195">
        <v>44742</v>
      </c>
      <c r="D2742" s="55">
        <v>260</v>
      </c>
      <c r="E2742" s="55" t="s">
        <v>5051</v>
      </c>
      <c r="F2742" s="55" t="s">
        <v>202</v>
      </c>
      <c r="G2742" s="55" t="s">
        <v>297</v>
      </c>
      <c r="H2742" s="50" t="s">
        <v>5052</v>
      </c>
    </row>
    <row r="2743" spans="3:8" x14ac:dyDescent="0.2">
      <c r="C2743" s="195">
        <v>44734</v>
      </c>
      <c r="D2743" s="55">
        <v>260</v>
      </c>
      <c r="E2743" s="55" t="s">
        <v>5053</v>
      </c>
      <c r="F2743" s="55" t="s">
        <v>231</v>
      </c>
      <c r="G2743" s="55" t="s">
        <v>421</v>
      </c>
      <c r="H2743" s="50" t="s">
        <v>5054</v>
      </c>
    </row>
    <row r="2744" spans="3:8" x14ac:dyDescent="0.2">
      <c r="C2744" s="195">
        <v>44714</v>
      </c>
      <c r="D2744" s="55">
        <v>260</v>
      </c>
      <c r="E2744" s="55" t="s">
        <v>5055</v>
      </c>
      <c r="F2744" s="55" t="s">
        <v>244</v>
      </c>
      <c r="G2744" s="55" t="s">
        <v>393</v>
      </c>
      <c r="H2744" s="50" t="s">
        <v>5056</v>
      </c>
    </row>
    <row r="2745" spans="3:8" x14ac:dyDescent="0.2">
      <c r="C2745" s="195">
        <v>44728</v>
      </c>
      <c r="D2745" s="55">
        <v>260</v>
      </c>
      <c r="E2745" s="55" t="s">
        <v>5057</v>
      </c>
      <c r="F2745" s="55" t="s">
        <v>272</v>
      </c>
      <c r="G2745" s="55" t="s">
        <v>273</v>
      </c>
      <c r="H2745" s="50" t="s">
        <v>5058</v>
      </c>
    </row>
    <row r="2746" spans="3:8" x14ac:dyDescent="0.2">
      <c r="C2746" s="195">
        <v>44741</v>
      </c>
      <c r="D2746" s="55">
        <v>260</v>
      </c>
      <c r="E2746" s="55" t="s">
        <v>5059</v>
      </c>
      <c r="F2746" s="55" t="s">
        <v>196</v>
      </c>
      <c r="G2746" s="55" t="s">
        <v>197</v>
      </c>
    </row>
    <row r="2747" spans="3:8" x14ac:dyDescent="0.2">
      <c r="C2747" s="195">
        <v>44722</v>
      </c>
      <c r="D2747" s="55">
        <v>280</v>
      </c>
      <c r="E2747" s="55" t="s">
        <v>5060</v>
      </c>
      <c r="F2747" s="55" t="s">
        <v>231</v>
      </c>
      <c r="G2747" s="55" t="s">
        <v>3096</v>
      </c>
      <c r="H2747" s="50" t="s">
        <v>5061</v>
      </c>
    </row>
    <row r="2748" spans="3:8" x14ac:dyDescent="0.2">
      <c r="C2748" s="195">
        <v>44726</v>
      </c>
      <c r="D2748" s="55">
        <v>260</v>
      </c>
      <c r="E2748" s="55" t="s">
        <v>5062</v>
      </c>
      <c r="F2748" s="55" t="s">
        <v>263</v>
      </c>
      <c r="G2748" s="55" t="s">
        <v>995</v>
      </c>
      <c r="H2748" s="50" t="s">
        <v>5063</v>
      </c>
    </row>
    <row r="2749" spans="3:8" x14ac:dyDescent="0.2">
      <c r="C2749" s="195">
        <v>44714</v>
      </c>
      <c r="D2749" s="55">
        <v>260</v>
      </c>
      <c r="E2749" s="55" t="s">
        <v>5064</v>
      </c>
      <c r="F2749" s="55" t="s">
        <v>390</v>
      </c>
      <c r="G2749" s="55" t="s">
        <v>922</v>
      </c>
      <c r="H2749" s="50" t="s">
        <v>5065</v>
      </c>
    </row>
    <row r="2750" spans="3:8" x14ac:dyDescent="0.2">
      <c r="C2750" s="195">
        <v>44732</v>
      </c>
      <c r="D2750" s="55">
        <v>260</v>
      </c>
      <c r="E2750" s="55" t="s">
        <v>5066</v>
      </c>
      <c r="F2750" s="55" t="s">
        <v>231</v>
      </c>
      <c r="G2750" s="55" t="s">
        <v>3965</v>
      </c>
      <c r="H2750" s="50" t="s">
        <v>5067</v>
      </c>
    </row>
    <row r="2751" spans="3:8" x14ac:dyDescent="0.2">
      <c r="C2751" s="195">
        <v>44736</v>
      </c>
      <c r="D2751" s="55">
        <v>260</v>
      </c>
      <c r="E2751" s="55" t="s">
        <v>5068</v>
      </c>
      <c r="F2751" s="55" t="s">
        <v>244</v>
      </c>
      <c r="G2751" s="55" t="s">
        <v>696</v>
      </c>
      <c r="H2751" s="50" t="s">
        <v>5069</v>
      </c>
    </row>
    <row r="2752" spans="3:8" x14ac:dyDescent="0.2">
      <c r="C2752" s="195">
        <v>44720</v>
      </c>
      <c r="D2752" s="55">
        <v>280</v>
      </c>
      <c r="E2752" s="55" t="s">
        <v>5070</v>
      </c>
      <c r="F2752" s="55" t="s">
        <v>210</v>
      </c>
      <c r="G2752" s="55" t="s">
        <v>383</v>
      </c>
    </row>
    <row r="2753" spans="3:8" x14ac:dyDescent="0.2">
      <c r="C2753" s="195">
        <v>44742</v>
      </c>
      <c r="D2753" s="55">
        <v>280</v>
      </c>
      <c r="E2753" s="55" t="s">
        <v>5071</v>
      </c>
      <c r="F2753" s="55" t="s">
        <v>231</v>
      </c>
      <c r="G2753" s="55" t="s">
        <v>782</v>
      </c>
      <c r="H2753" s="50" t="s">
        <v>5072</v>
      </c>
    </row>
    <row r="2754" spans="3:8" x14ac:dyDescent="0.2">
      <c r="C2754" s="195">
        <v>44720</v>
      </c>
      <c r="D2754" s="55">
        <v>260</v>
      </c>
      <c r="E2754" s="55" t="s">
        <v>5073</v>
      </c>
      <c r="F2754" s="55" t="s">
        <v>267</v>
      </c>
      <c r="G2754" s="55" t="s">
        <v>1109</v>
      </c>
    </row>
    <row r="2755" spans="3:8" x14ac:dyDescent="0.2">
      <c r="C2755" s="195">
        <v>44734</v>
      </c>
      <c r="D2755" s="55">
        <v>260</v>
      </c>
      <c r="E2755" s="55" t="s">
        <v>5074</v>
      </c>
      <c r="F2755" s="55" t="s">
        <v>291</v>
      </c>
      <c r="G2755" s="55" t="s">
        <v>1247</v>
      </c>
      <c r="H2755" s="50" t="s">
        <v>5075</v>
      </c>
    </row>
    <row r="2756" spans="3:8" x14ac:dyDescent="0.2">
      <c r="C2756" s="195">
        <v>44725</v>
      </c>
      <c r="D2756" s="55">
        <v>260</v>
      </c>
      <c r="E2756" s="55" t="s">
        <v>5076</v>
      </c>
      <c r="F2756" s="55" t="s">
        <v>210</v>
      </c>
      <c r="G2756" s="55" t="s">
        <v>1572</v>
      </c>
      <c r="H2756" s="50" t="s">
        <v>5077</v>
      </c>
    </row>
    <row r="2757" spans="3:8" x14ac:dyDescent="0.2">
      <c r="C2757" s="195">
        <v>44718</v>
      </c>
      <c r="D2757" s="55">
        <v>260</v>
      </c>
      <c r="E2757" s="55" t="s">
        <v>5078</v>
      </c>
      <c r="F2757" s="55" t="s">
        <v>210</v>
      </c>
      <c r="G2757" s="55" t="s">
        <v>496</v>
      </c>
      <c r="H2757" s="50" t="s">
        <v>224</v>
      </c>
    </row>
    <row r="2758" spans="3:8" x14ac:dyDescent="0.2">
      <c r="C2758" s="195">
        <v>44742</v>
      </c>
      <c r="D2758" s="55">
        <v>260</v>
      </c>
      <c r="E2758" s="55" t="s">
        <v>5079</v>
      </c>
      <c r="F2758" s="55" t="s">
        <v>231</v>
      </c>
      <c r="G2758" s="55" t="s">
        <v>255</v>
      </c>
      <c r="H2758" s="50" t="s">
        <v>5080</v>
      </c>
    </row>
    <row r="2759" spans="3:8" x14ac:dyDescent="0.2">
      <c r="C2759" s="195">
        <v>44720</v>
      </c>
      <c r="D2759" s="55">
        <v>280</v>
      </c>
      <c r="E2759" s="55" t="s">
        <v>5081</v>
      </c>
      <c r="F2759" s="55" t="s">
        <v>192</v>
      </c>
      <c r="G2759" s="55" t="s">
        <v>640</v>
      </c>
    </row>
    <row r="2760" spans="3:8" x14ac:dyDescent="0.2">
      <c r="C2760" s="195">
        <v>44733</v>
      </c>
      <c r="D2760" s="55">
        <v>260</v>
      </c>
      <c r="E2760" s="55" t="s">
        <v>5082</v>
      </c>
      <c r="F2760" s="55" t="s">
        <v>210</v>
      </c>
      <c r="G2760" s="55" t="s">
        <v>883</v>
      </c>
      <c r="H2760" s="50" t="s">
        <v>5083</v>
      </c>
    </row>
    <row r="2761" spans="3:8" x14ac:dyDescent="0.2">
      <c r="C2761" s="195">
        <v>44726</v>
      </c>
      <c r="D2761" s="55">
        <v>280</v>
      </c>
      <c r="E2761" s="55" t="s">
        <v>5084</v>
      </c>
      <c r="F2761" s="55" t="s">
        <v>263</v>
      </c>
      <c r="G2761" s="55" t="s">
        <v>579</v>
      </c>
      <c r="H2761" s="50" t="s">
        <v>5085</v>
      </c>
    </row>
    <row r="2762" spans="3:8" x14ac:dyDescent="0.2">
      <c r="C2762" s="195">
        <v>44727</v>
      </c>
      <c r="D2762" s="55">
        <v>260</v>
      </c>
      <c r="E2762" s="55" t="s">
        <v>5086</v>
      </c>
      <c r="F2762" s="55" t="s">
        <v>210</v>
      </c>
      <c r="G2762" s="55" t="s">
        <v>2684</v>
      </c>
      <c r="H2762" s="50" t="s">
        <v>5087</v>
      </c>
    </row>
    <row r="2763" spans="3:8" x14ac:dyDescent="0.2">
      <c r="C2763" s="195">
        <v>44721</v>
      </c>
      <c r="D2763" s="55">
        <v>280</v>
      </c>
      <c r="E2763" s="55" t="s">
        <v>5088</v>
      </c>
      <c r="F2763" s="55" t="s">
        <v>291</v>
      </c>
      <c r="G2763" s="55" t="s">
        <v>480</v>
      </c>
      <c r="H2763" s="50" t="s">
        <v>5089</v>
      </c>
    </row>
    <row r="2764" spans="3:8" x14ac:dyDescent="0.2">
      <c r="C2764" s="195">
        <v>44729</v>
      </c>
      <c r="D2764" s="55">
        <v>280</v>
      </c>
      <c r="E2764" s="55" t="s">
        <v>5090</v>
      </c>
      <c r="F2764" s="55" t="s">
        <v>231</v>
      </c>
      <c r="G2764" s="55" t="s">
        <v>782</v>
      </c>
      <c r="H2764" s="50" t="s">
        <v>224</v>
      </c>
    </row>
    <row r="2765" spans="3:8" x14ac:dyDescent="0.2">
      <c r="C2765" s="195">
        <v>44742</v>
      </c>
      <c r="D2765" s="55">
        <v>280</v>
      </c>
      <c r="E2765" s="55" t="s">
        <v>5091</v>
      </c>
      <c r="F2765" s="55" t="s">
        <v>206</v>
      </c>
      <c r="G2765" s="55" t="s">
        <v>214</v>
      </c>
    </row>
    <row r="2766" spans="3:8" x14ac:dyDescent="0.2">
      <c r="C2766" s="195">
        <v>44742</v>
      </c>
      <c r="D2766" s="55">
        <v>260</v>
      </c>
      <c r="E2766" s="55" t="s">
        <v>5092</v>
      </c>
      <c r="F2766" s="55" t="s">
        <v>210</v>
      </c>
      <c r="G2766" s="55" t="s">
        <v>496</v>
      </c>
      <c r="H2766" s="50" t="s">
        <v>5093</v>
      </c>
    </row>
    <row r="2767" spans="3:8" x14ac:dyDescent="0.2">
      <c r="C2767" s="195">
        <v>44722</v>
      </c>
      <c r="D2767" s="55">
        <v>260</v>
      </c>
      <c r="E2767" s="55" t="s">
        <v>5094</v>
      </c>
      <c r="F2767" s="55" t="s">
        <v>202</v>
      </c>
      <c r="G2767" s="55" t="s">
        <v>302</v>
      </c>
      <c r="H2767" s="50" t="s">
        <v>5095</v>
      </c>
    </row>
    <row r="2768" spans="3:8" x14ac:dyDescent="0.2">
      <c r="C2768" s="195">
        <v>44714</v>
      </c>
      <c r="D2768" s="55">
        <v>260</v>
      </c>
      <c r="E2768" s="55" t="s">
        <v>5096</v>
      </c>
      <c r="F2768" s="55" t="s">
        <v>244</v>
      </c>
      <c r="G2768" s="55" t="s">
        <v>294</v>
      </c>
      <c r="H2768" s="50" t="s">
        <v>5097</v>
      </c>
    </row>
    <row r="2769" spans="3:8" x14ac:dyDescent="0.2">
      <c r="C2769" s="195">
        <v>44729</v>
      </c>
      <c r="D2769" s="55">
        <v>280</v>
      </c>
      <c r="E2769" s="55" t="s">
        <v>5098</v>
      </c>
      <c r="F2769" s="55" t="s">
        <v>196</v>
      </c>
      <c r="G2769" s="55" t="s">
        <v>645</v>
      </c>
      <c r="H2769" s="50" t="s">
        <v>5099</v>
      </c>
    </row>
    <row r="2770" spans="3:8" x14ac:dyDescent="0.2">
      <c r="C2770" s="195">
        <v>44725</v>
      </c>
      <c r="D2770" s="55">
        <v>260</v>
      </c>
      <c r="E2770" s="55" t="s">
        <v>5100</v>
      </c>
      <c r="F2770" s="55" t="s">
        <v>210</v>
      </c>
      <c r="G2770" s="55" t="s">
        <v>306</v>
      </c>
      <c r="H2770" s="50" t="s">
        <v>5101</v>
      </c>
    </row>
    <row r="2771" spans="3:8" x14ac:dyDescent="0.2">
      <c r="C2771" s="195">
        <v>44714</v>
      </c>
      <c r="D2771" s="55">
        <v>260</v>
      </c>
      <c r="E2771" s="55" t="s">
        <v>5102</v>
      </c>
      <c r="F2771" s="55" t="s">
        <v>267</v>
      </c>
      <c r="G2771" s="55" t="s">
        <v>708</v>
      </c>
      <c r="H2771" s="50" t="s">
        <v>224</v>
      </c>
    </row>
    <row r="2772" spans="3:8" x14ac:dyDescent="0.2">
      <c r="C2772" s="195">
        <v>44740</v>
      </c>
      <c r="D2772" s="55">
        <v>260</v>
      </c>
      <c r="E2772" s="55" t="s">
        <v>5103</v>
      </c>
      <c r="F2772" s="55" t="s">
        <v>390</v>
      </c>
      <c r="G2772" s="55" t="s">
        <v>671</v>
      </c>
      <c r="H2772" s="50" t="s">
        <v>5104</v>
      </c>
    </row>
    <row r="2773" spans="3:8" x14ac:dyDescent="0.2">
      <c r="C2773" s="195">
        <v>44721</v>
      </c>
      <c r="D2773" s="55">
        <v>260</v>
      </c>
      <c r="E2773" s="55" t="s">
        <v>5105</v>
      </c>
      <c r="F2773" s="55" t="s">
        <v>263</v>
      </c>
      <c r="G2773" s="55" t="s">
        <v>892</v>
      </c>
      <c r="H2773" s="50" t="s">
        <v>224</v>
      </c>
    </row>
    <row r="2774" spans="3:8" x14ac:dyDescent="0.2">
      <c r="C2774" s="195">
        <v>44728</v>
      </c>
      <c r="D2774" s="55">
        <v>260</v>
      </c>
      <c r="E2774" s="55" t="s">
        <v>5106</v>
      </c>
      <c r="F2774" s="55" t="s">
        <v>219</v>
      </c>
      <c r="G2774" s="55" t="s">
        <v>220</v>
      </c>
      <c r="H2774" s="50" t="s">
        <v>5107</v>
      </c>
    </row>
    <row r="2775" spans="3:8" x14ac:dyDescent="0.2">
      <c r="C2775" s="195">
        <v>44735</v>
      </c>
      <c r="D2775" s="55">
        <v>280</v>
      </c>
      <c r="E2775" s="55" t="s">
        <v>5108</v>
      </c>
      <c r="F2775" s="55" t="s">
        <v>192</v>
      </c>
      <c r="G2775" s="55" t="s">
        <v>401</v>
      </c>
      <c r="H2775" s="50" t="s">
        <v>5109</v>
      </c>
    </row>
    <row r="2776" spans="3:8" x14ac:dyDescent="0.2">
      <c r="C2776" s="195">
        <v>44742</v>
      </c>
      <c r="D2776" s="55">
        <v>280</v>
      </c>
      <c r="E2776" s="55" t="s">
        <v>5110</v>
      </c>
      <c r="F2776" s="55" t="s">
        <v>390</v>
      </c>
      <c r="G2776" s="55" t="s">
        <v>922</v>
      </c>
    </row>
    <row r="2777" spans="3:8" x14ac:dyDescent="0.2">
      <c r="C2777" s="195">
        <v>44728</v>
      </c>
      <c r="D2777" s="55">
        <v>280</v>
      </c>
      <c r="E2777" s="55" t="s">
        <v>5111</v>
      </c>
      <c r="F2777" s="55" t="s">
        <v>196</v>
      </c>
      <c r="G2777" s="55" t="s">
        <v>645</v>
      </c>
      <c r="H2777" s="50" t="s">
        <v>224</v>
      </c>
    </row>
    <row r="2778" spans="3:8" x14ac:dyDescent="0.2">
      <c r="C2778" s="195">
        <v>44714</v>
      </c>
      <c r="D2778" s="55">
        <v>280</v>
      </c>
      <c r="E2778" s="55" t="s">
        <v>5112</v>
      </c>
      <c r="F2778" s="55" t="s">
        <v>192</v>
      </c>
      <c r="G2778" s="55" t="s">
        <v>258</v>
      </c>
      <c r="H2778" s="50" t="s">
        <v>5113</v>
      </c>
    </row>
    <row r="2779" spans="3:8" x14ac:dyDescent="0.2">
      <c r="C2779" s="195">
        <v>44742</v>
      </c>
      <c r="D2779" s="55">
        <v>260</v>
      </c>
      <c r="E2779" s="55" t="s">
        <v>5114</v>
      </c>
      <c r="F2779" s="55" t="s">
        <v>291</v>
      </c>
      <c r="G2779" s="55" t="s">
        <v>480</v>
      </c>
      <c r="H2779" s="50" t="s">
        <v>224</v>
      </c>
    </row>
    <row r="2780" spans="3:8" x14ac:dyDescent="0.2">
      <c r="C2780" s="195">
        <v>44722</v>
      </c>
      <c r="D2780" s="55">
        <v>260</v>
      </c>
      <c r="E2780" s="55" t="s">
        <v>5115</v>
      </c>
      <c r="F2780" s="55" t="s">
        <v>210</v>
      </c>
      <c r="G2780" s="55" t="s">
        <v>883</v>
      </c>
      <c r="H2780" s="50" t="s">
        <v>5116</v>
      </c>
    </row>
    <row r="2781" spans="3:8" x14ac:dyDescent="0.2">
      <c r="C2781" s="195">
        <v>44725</v>
      </c>
      <c r="D2781" s="55">
        <v>280</v>
      </c>
      <c r="E2781" s="55" t="s">
        <v>5117</v>
      </c>
      <c r="F2781" s="55" t="s">
        <v>210</v>
      </c>
      <c r="G2781" s="55" t="s">
        <v>1095</v>
      </c>
      <c r="H2781" s="50" t="s">
        <v>5118</v>
      </c>
    </row>
    <row r="2782" spans="3:8" x14ac:dyDescent="0.2">
      <c r="C2782" s="195">
        <v>44733</v>
      </c>
      <c r="D2782" s="55">
        <v>260</v>
      </c>
      <c r="E2782" s="55" t="s">
        <v>5119</v>
      </c>
      <c r="F2782" s="55" t="s">
        <v>196</v>
      </c>
      <c r="G2782" s="55" t="s">
        <v>197</v>
      </c>
      <c r="H2782" s="50" t="s">
        <v>224</v>
      </c>
    </row>
    <row r="2783" spans="3:8" x14ac:dyDescent="0.2">
      <c r="C2783" s="195">
        <v>44735</v>
      </c>
      <c r="D2783" s="55">
        <v>280</v>
      </c>
      <c r="E2783" s="55" t="s">
        <v>5120</v>
      </c>
      <c r="F2783" s="55" t="s">
        <v>231</v>
      </c>
      <c r="G2783" s="55" t="s">
        <v>1189</v>
      </c>
      <c r="H2783" s="50" t="s">
        <v>5121</v>
      </c>
    </row>
    <row r="2784" spans="3:8" x14ac:dyDescent="0.2">
      <c r="C2784" s="195">
        <v>44721</v>
      </c>
      <c r="D2784" s="55">
        <v>280</v>
      </c>
      <c r="E2784" s="55" t="s">
        <v>5122</v>
      </c>
      <c r="F2784" s="55" t="s">
        <v>263</v>
      </c>
      <c r="G2784" s="55" t="s">
        <v>426</v>
      </c>
      <c r="H2784" s="50" t="s">
        <v>5123</v>
      </c>
    </row>
    <row r="2785" spans="1:62" x14ac:dyDescent="0.2">
      <c r="A2785" s="57">
        <v>622</v>
      </c>
      <c r="B2785" t="s">
        <v>836</v>
      </c>
      <c r="C2785" s="195">
        <v>44714</v>
      </c>
      <c r="D2785" s="55">
        <v>280</v>
      </c>
      <c r="E2785" s="55" t="s">
        <v>5124</v>
      </c>
      <c r="F2785" s="55" t="s">
        <v>291</v>
      </c>
      <c r="G2785" s="55" t="s">
        <v>643</v>
      </c>
      <c r="H2785" s="50" t="s">
        <v>224</v>
      </c>
      <c r="I2785" s="46" t="s">
        <v>837</v>
      </c>
    </row>
    <row r="2786" spans="1:62" x14ac:dyDescent="0.2">
      <c r="A2786" s="57">
        <v>622</v>
      </c>
      <c r="B2786" t="s">
        <v>836</v>
      </c>
      <c r="C2786" s="195">
        <v>44729</v>
      </c>
      <c r="D2786" s="55">
        <v>280</v>
      </c>
      <c r="E2786" s="55" t="s">
        <v>5125</v>
      </c>
      <c r="F2786" s="55" t="s">
        <v>267</v>
      </c>
      <c r="G2786" s="55" t="s">
        <v>535</v>
      </c>
      <c r="H2786" s="50" t="s">
        <v>224</v>
      </c>
      <c r="I2786" s="46" t="s">
        <v>839</v>
      </c>
      <c r="J2786" s="52">
        <v>1</v>
      </c>
      <c r="K2786" s="52">
        <v>1</v>
      </c>
      <c r="O2786" s="1">
        <v>1</v>
      </c>
      <c r="S2786" s="1">
        <v>1</v>
      </c>
      <c r="W2786" s="1">
        <v>1</v>
      </c>
      <c r="AA2786" s="1">
        <v>1</v>
      </c>
      <c r="AG2786">
        <v>5</v>
      </c>
      <c r="AM2786">
        <v>4</v>
      </c>
      <c r="AS2786">
        <v>5</v>
      </c>
      <c r="AT2786">
        <v>1</v>
      </c>
      <c r="AU2786">
        <v>1</v>
      </c>
      <c r="AZ2786">
        <v>1</v>
      </c>
      <c r="BA2786">
        <v>1</v>
      </c>
      <c r="BB2786">
        <v>1</v>
      </c>
      <c r="BC2786">
        <v>1</v>
      </c>
      <c r="BD2786">
        <v>1</v>
      </c>
      <c r="BE2786">
        <v>1</v>
      </c>
      <c r="BJ2786">
        <v>1</v>
      </c>
    </row>
    <row r="2787" spans="1:62" x14ac:dyDescent="0.2">
      <c r="C2787" s="195">
        <v>44742</v>
      </c>
      <c r="D2787" s="55">
        <v>260</v>
      </c>
      <c r="E2787" s="55" t="s">
        <v>5126</v>
      </c>
      <c r="F2787" s="55" t="s">
        <v>244</v>
      </c>
      <c r="G2787" s="55" t="s">
        <v>245</v>
      </c>
      <c r="H2787" s="50" t="s">
        <v>5127</v>
      </c>
    </row>
    <row r="2788" spans="1:62" x14ac:dyDescent="0.2">
      <c r="C2788" s="195">
        <v>44736</v>
      </c>
      <c r="D2788" s="55">
        <v>260</v>
      </c>
      <c r="E2788" s="55" t="s">
        <v>5128</v>
      </c>
      <c r="F2788" s="55" t="s">
        <v>210</v>
      </c>
      <c r="G2788" s="55" t="s">
        <v>235</v>
      </c>
      <c r="H2788" s="50" t="s">
        <v>224</v>
      </c>
    </row>
    <row r="2789" spans="1:62" x14ac:dyDescent="0.2">
      <c r="C2789" s="195">
        <v>44732</v>
      </c>
      <c r="D2789" s="55">
        <v>260</v>
      </c>
      <c r="E2789" s="55" t="s">
        <v>5129</v>
      </c>
      <c r="F2789" s="55" t="s">
        <v>202</v>
      </c>
      <c r="G2789" s="55" t="s">
        <v>297</v>
      </c>
      <c r="H2789" s="50" t="s">
        <v>5130</v>
      </c>
    </row>
    <row r="2790" spans="1:62" x14ac:dyDescent="0.2">
      <c r="A2790" s="57">
        <v>622</v>
      </c>
      <c r="B2790" t="s">
        <v>836</v>
      </c>
      <c r="C2790" s="195">
        <v>44742</v>
      </c>
      <c r="D2790" s="55">
        <v>260</v>
      </c>
      <c r="E2790" s="55" t="s">
        <v>5131</v>
      </c>
      <c r="F2790" s="55" t="s">
        <v>291</v>
      </c>
      <c r="G2790" s="55" t="s">
        <v>819</v>
      </c>
      <c r="H2790" s="50" t="s">
        <v>224</v>
      </c>
      <c r="I2790" s="46" t="s">
        <v>839</v>
      </c>
      <c r="J2790" s="52">
        <v>1</v>
      </c>
      <c r="K2790" s="52">
        <v>1</v>
      </c>
      <c r="O2790" s="1">
        <v>1</v>
      </c>
      <c r="S2790" s="1">
        <v>1</v>
      </c>
      <c r="W2790" s="1">
        <v>1</v>
      </c>
      <c r="AA2790" s="1">
        <v>1</v>
      </c>
      <c r="AG2790">
        <v>1</v>
      </c>
      <c r="AM2790">
        <v>4</v>
      </c>
      <c r="AS2790">
        <v>4</v>
      </c>
      <c r="AT2790">
        <v>1</v>
      </c>
      <c r="AU2790">
        <v>1</v>
      </c>
      <c r="AZ2790">
        <v>1</v>
      </c>
      <c r="BA2790">
        <v>1</v>
      </c>
      <c r="BB2790">
        <v>1</v>
      </c>
      <c r="BC2790">
        <v>1</v>
      </c>
      <c r="BD2790">
        <v>1</v>
      </c>
      <c r="BE2790">
        <v>1</v>
      </c>
      <c r="BJ2790">
        <v>1</v>
      </c>
    </row>
    <row r="2791" spans="1:62" x14ac:dyDescent="0.2">
      <c r="C2791" s="195">
        <v>44722</v>
      </c>
      <c r="D2791" s="55">
        <v>280</v>
      </c>
      <c r="E2791" s="55" t="s">
        <v>5132</v>
      </c>
      <c r="F2791" s="55" t="s">
        <v>390</v>
      </c>
      <c r="G2791" s="55" t="s">
        <v>671</v>
      </c>
      <c r="H2791" s="50" t="s">
        <v>224</v>
      </c>
    </row>
    <row r="2792" spans="1:62" x14ac:dyDescent="0.2">
      <c r="C2792" s="195">
        <v>44727</v>
      </c>
      <c r="D2792" s="55">
        <v>280</v>
      </c>
      <c r="E2792" s="55" t="s">
        <v>5133</v>
      </c>
      <c r="F2792" s="55" t="s">
        <v>263</v>
      </c>
      <c r="G2792" s="55" t="s">
        <v>579</v>
      </c>
      <c r="H2792" s="50" t="s">
        <v>5134</v>
      </c>
    </row>
    <row r="2793" spans="1:62" x14ac:dyDescent="0.2">
      <c r="C2793" s="195">
        <v>44722</v>
      </c>
      <c r="D2793" s="55">
        <v>280</v>
      </c>
      <c r="E2793" s="55" t="s">
        <v>5135</v>
      </c>
      <c r="F2793" s="55" t="s">
        <v>244</v>
      </c>
      <c r="G2793" s="55" t="s">
        <v>378</v>
      </c>
      <c r="H2793" s="50" t="s">
        <v>5136</v>
      </c>
    </row>
    <row r="2794" spans="1:62" x14ac:dyDescent="0.2">
      <c r="C2794" s="195">
        <v>44722</v>
      </c>
      <c r="D2794" s="55">
        <v>280</v>
      </c>
      <c r="E2794" s="55" t="s">
        <v>5137</v>
      </c>
      <c r="F2794" s="55" t="s">
        <v>390</v>
      </c>
      <c r="G2794" s="55" t="s">
        <v>671</v>
      </c>
      <c r="H2794" s="50" t="s">
        <v>224</v>
      </c>
    </row>
    <row r="2795" spans="1:62" x14ac:dyDescent="0.2">
      <c r="C2795" s="195">
        <v>44732</v>
      </c>
      <c r="D2795" s="55">
        <v>260</v>
      </c>
      <c r="E2795" s="55" t="s">
        <v>5138</v>
      </c>
      <c r="F2795" s="55" t="s">
        <v>263</v>
      </c>
      <c r="G2795" s="55" t="s">
        <v>1113</v>
      </c>
      <c r="H2795" s="50" t="s">
        <v>5139</v>
      </c>
    </row>
    <row r="2796" spans="1:62" x14ac:dyDescent="0.2">
      <c r="C2796" s="195">
        <v>44729</v>
      </c>
      <c r="D2796" s="55">
        <v>260</v>
      </c>
      <c r="E2796" s="55" t="s">
        <v>5140</v>
      </c>
      <c r="F2796" s="55" t="s">
        <v>196</v>
      </c>
      <c r="G2796" s="55" t="s">
        <v>352</v>
      </c>
      <c r="H2796" s="50" t="s">
        <v>5141</v>
      </c>
    </row>
    <row r="2797" spans="1:62" x14ac:dyDescent="0.2">
      <c r="C2797" s="195">
        <v>44734</v>
      </c>
      <c r="D2797" s="55">
        <v>280</v>
      </c>
      <c r="E2797" s="55" t="s">
        <v>5142</v>
      </c>
      <c r="F2797" s="55" t="s">
        <v>219</v>
      </c>
      <c r="G2797" s="55" t="s">
        <v>249</v>
      </c>
      <c r="H2797" s="50" t="s">
        <v>5143</v>
      </c>
    </row>
    <row r="2798" spans="1:62" x14ac:dyDescent="0.2">
      <c r="C2798" s="195">
        <v>44740</v>
      </c>
      <c r="D2798" s="55">
        <v>280</v>
      </c>
      <c r="E2798" s="55" t="s">
        <v>5144</v>
      </c>
      <c r="F2798" s="55" t="s">
        <v>263</v>
      </c>
      <c r="G2798" s="55" t="s">
        <v>892</v>
      </c>
      <c r="H2798" s="50" t="s">
        <v>5145</v>
      </c>
    </row>
    <row r="2799" spans="1:62" x14ac:dyDescent="0.2">
      <c r="C2799" s="195">
        <v>44714</v>
      </c>
      <c r="D2799" s="55">
        <v>260</v>
      </c>
      <c r="E2799" s="55" t="s">
        <v>5146</v>
      </c>
      <c r="F2799" s="55" t="s">
        <v>210</v>
      </c>
      <c r="G2799" s="55" t="s">
        <v>496</v>
      </c>
      <c r="H2799" s="50" t="s">
        <v>5147</v>
      </c>
    </row>
    <row r="2800" spans="1:62" x14ac:dyDescent="0.2">
      <c r="C2800" s="195">
        <v>44732</v>
      </c>
      <c r="D2800" s="55">
        <v>280</v>
      </c>
      <c r="E2800" s="55" t="s">
        <v>5148</v>
      </c>
      <c r="F2800" s="55" t="s">
        <v>231</v>
      </c>
      <c r="G2800" s="55" t="s">
        <v>1098</v>
      </c>
      <c r="H2800" s="50" t="s">
        <v>5149</v>
      </c>
    </row>
    <row r="2801" spans="1:62" x14ac:dyDescent="0.2">
      <c r="C2801" s="195">
        <v>44742</v>
      </c>
      <c r="D2801" s="55">
        <v>260</v>
      </c>
      <c r="E2801" s="55" t="s">
        <v>5150</v>
      </c>
      <c r="F2801" s="55" t="s">
        <v>272</v>
      </c>
      <c r="G2801" s="55" t="s">
        <v>273</v>
      </c>
      <c r="H2801" s="50" t="s">
        <v>5151</v>
      </c>
    </row>
    <row r="2802" spans="1:62" x14ac:dyDescent="0.2">
      <c r="C2802" s="195">
        <v>44725</v>
      </c>
      <c r="D2802" s="55">
        <v>260</v>
      </c>
      <c r="E2802" s="55" t="s">
        <v>5152</v>
      </c>
      <c r="F2802" s="55" t="s">
        <v>210</v>
      </c>
      <c r="G2802" s="55" t="s">
        <v>1095</v>
      </c>
      <c r="H2802" s="50" t="s">
        <v>5153</v>
      </c>
    </row>
    <row r="2803" spans="1:62" x14ac:dyDescent="0.2">
      <c r="C2803" s="195">
        <v>44725</v>
      </c>
      <c r="D2803" s="55">
        <v>280</v>
      </c>
      <c r="E2803" s="55" t="s">
        <v>5154</v>
      </c>
      <c r="F2803" s="55" t="s">
        <v>267</v>
      </c>
      <c r="G2803" s="55" t="s">
        <v>1109</v>
      </c>
      <c r="H2803" s="50" t="s">
        <v>224</v>
      </c>
    </row>
    <row r="2804" spans="1:62" x14ac:dyDescent="0.2">
      <c r="A2804" s="57">
        <v>622</v>
      </c>
      <c r="B2804" t="s">
        <v>836</v>
      </c>
      <c r="C2804" s="195">
        <v>44742</v>
      </c>
      <c r="D2804" s="55">
        <v>260</v>
      </c>
      <c r="E2804" s="55" t="s">
        <v>5155</v>
      </c>
      <c r="F2804" s="55" t="s">
        <v>272</v>
      </c>
      <c r="G2804" s="55" t="s">
        <v>366</v>
      </c>
      <c r="H2804" s="50" t="s">
        <v>224</v>
      </c>
      <c r="I2804" s="46" t="s">
        <v>839</v>
      </c>
      <c r="J2804" s="52">
        <v>1</v>
      </c>
      <c r="K2804" s="52">
        <v>1</v>
      </c>
      <c r="O2804" s="1">
        <v>1</v>
      </c>
      <c r="S2804" s="1">
        <v>1</v>
      </c>
      <c r="W2804" s="1">
        <v>1</v>
      </c>
      <c r="AA2804" s="1">
        <v>1</v>
      </c>
      <c r="AG2804">
        <v>1</v>
      </c>
      <c r="AM2804">
        <v>1</v>
      </c>
      <c r="AN2804">
        <v>1</v>
      </c>
      <c r="AO2804">
        <v>1</v>
      </c>
      <c r="AP2804">
        <v>1</v>
      </c>
      <c r="AQ2804">
        <v>3</v>
      </c>
      <c r="AR2804">
        <v>3</v>
      </c>
      <c r="AS2804">
        <v>3</v>
      </c>
      <c r="AT2804">
        <v>1</v>
      </c>
      <c r="AU2804">
        <v>1</v>
      </c>
      <c r="AZ2804">
        <v>1</v>
      </c>
      <c r="BA2804">
        <v>1</v>
      </c>
      <c r="BB2804">
        <v>3</v>
      </c>
      <c r="BC2804">
        <v>3</v>
      </c>
      <c r="BD2804">
        <v>1</v>
      </c>
      <c r="BE2804">
        <v>1</v>
      </c>
      <c r="BJ2804">
        <v>1</v>
      </c>
    </row>
    <row r="2805" spans="1:62" x14ac:dyDescent="0.2">
      <c r="C2805" s="195">
        <v>44736</v>
      </c>
      <c r="D2805" s="55">
        <v>280</v>
      </c>
      <c r="E2805" s="55" t="s">
        <v>5156</v>
      </c>
      <c r="F2805" s="55" t="s">
        <v>231</v>
      </c>
      <c r="G2805" s="55" t="s">
        <v>3096</v>
      </c>
      <c r="H2805" s="50" t="s">
        <v>5157</v>
      </c>
    </row>
    <row r="2806" spans="1:62" x14ac:dyDescent="0.2">
      <c r="C2806" s="195">
        <v>44736</v>
      </c>
      <c r="D2806" s="55">
        <v>280</v>
      </c>
      <c r="E2806" s="55" t="s">
        <v>5158</v>
      </c>
      <c r="F2806" s="55" t="s">
        <v>231</v>
      </c>
      <c r="G2806" s="55" t="s">
        <v>3096</v>
      </c>
      <c r="H2806" s="50" t="s">
        <v>5159</v>
      </c>
    </row>
    <row r="2807" spans="1:62" x14ac:dyDescent="0.2">
      <c r="C2807" s="195">
        <v>44718</v>
      </c>
      <c r="D2807" s="55">
        <v>260</v>
      </c>
      <c r="E2807" s="55" t="s">
        <v>5160</v>
      </c>
      <c r="F2807" s="55" t="s">
        <v>210</v>
      </c>
      <c r="G2807" s="55" t="s">
        <v>2684</v>
      </c>
      <c r="H2807" s="50" t="s">
        <v>5161</v>
      </c>
    </row>
    <row r="2808" spans="1:62" x14ac:dyDescent="0.2">
      <c r="C2808" s="195">
        <v>44729</v>
      </c>
      <c r="D2808" s="55">
        <v>280</v>
      </c>
      <c r="E2808" s="55" t="s">
        <v>5162</v>
      </c>
      <c r="F2808" s="55" t="s">
        <v>196</v>
      </c>
      <c r="G2808" s="55" t="s">
        <v>464</v>
      </c>
      <c r="H2808" s="50" t="s">
        <v>5163</v>
      </c>
    </row>
    <row r="2809" spans="1:62" x14ac:dyDescent="0.2">
      <c r="C2809" s="195">
        <v>44739</v>
      </c>
      <c r="D2809" s="55">
        <v>260</v>
      </c>
      <c r="E2809" s="55" t="s">
        <v>5164</v>
      </c>
      <c r="F2809" s="55" t="s">
        <v>196</v>
      </c>
      <c r="G2809" s="55" t="s">
        <v>498</v>
      </c>
      <c r="H2809" s="50" t="s">
        <v>5165</v>
      </c>
    </row>
    <row r="2810" spans="1:62" x14ac:dyDescent="0.2">
      <c r="A2810" s="57">
        <v>622</v>
      </c>
      <c r="B2810" t="s">
        <v>836</v>
      </c>
      <c r="C2810" s="195">
        <v>44720</v>
      </c>
      <c r="D2810" s="55">
        <v>260</v>
      </c>
      <c r="E2810" s="55" t="s">
        <v>5166</v>
      </c>
      <c r="F2810" s="55" t="s">
        <v>267</v>
      </c>
      <c r="G2810" s="55" t="s">
        <v>1109</v>
      </c>
      <c r="I2810" s="46" t="s">
        <v>837</v>
      </c>
    </row>
    <row r="2811" spans="1:62" x14ac:dyDescent="0.2">
      <c r="C2811" s="195">
        <v>44722</v>
      </c>
      <c r="D2811" s="55">
        <v>260</v>
      </c>
      <c r="E2811" s="55" t="s">
        <v>5167</v>
      </c>
      <c r="F2811" s="55" t="s">
        <v>219</v>
      </c>
      <c r="G2811" s="55" t="s">
        <v>249</v>
      </c>
      <c r="H2811" s="50" t="s">
        <v>5168</v>
      </c>
    </row>
    <row r="2812" spans="1:62" x14ac:dyDescent="0.2">
      <c r="C2812" s="195">
        <v>44727</v>
      </c>
      <c r="D2812" s="55">
        <v>260</v>
      </c>
      <c r="E2812" s="55" t="s">
        <v>5169</v>
      </c>
      <c r="F2812" s="55" t="s">
        <v>202</v>
      </c>
      <c r="G2812" s="55" t="s">
        <v>321</v>
      </c>
      <c r="H2812" s="50" t="s">
        <v>5170</v>
      </c>
    </row>
    <row r="2813" spans="1:62" x14ac:dyDescent="0.2">
      <c r="C2813" s="195">
        <v>44722</v>
      </c>
      <c r="D2813" s="55">
        <v>260</v>
      </c>
      <c r="E2813" s="55" t="s">
        <v>5171</v>
      </c>
      <c r="F2813" s="55" t="s">
        <v>202</v>
      </c>
      <c r="G2813" s="55" t="s">
        <v>2033</v>
      </c>
      <c r="H2813" s="50" t="s">
        <v>5172</v>
      </c>
    </row>
    <row r="2814" spans="1:62" x14ac:dyDescent="0.2">
      <c r="C2814" s="195">
        <v>44714</v>
      </c>
      <c r="D2814" s="55">
        <v>280</v>
      </c>
      <c r="E2814" s="55" t="s">
        <v>5173</v>
      </c>
      <c r="F2814" s="55" t="s">
        <v>196</v>
      </c>
      <c r="G2814" s="55" t="s">
        <v>415</v>
      </c>
      <c r="H2814" s="50" t="s">
        <v>5174</v>
      </c>
    </row>
    <row r="2815" spans="1:62" x14ac:dyDescent="0.2">
      <c r="C2815" s="195">
        <v>44726</v>
      </c>
      <c r="D2815" s="55">
        <v>260</v>
      </c>
      <c r="E2815" s="55" t="s">
        <v>5175</v>
      </c>
      <c r="F2815" s="55" t="s">
        <v>210</v>
      </c>
      <c r="G2815" s="55" t="s">
        <v>1095</v>
      </c>
      <c r="H2815" s="50" t="s">
        <v>5176</v>
      </c>
    </row>
    <row r="2816" spans="1:62" x14ac:dyDescent="0.2">
      <c r="C2816" s="195">
        <v>44740</v>
      </c>
      <c r="D2816" s="55">
        <v>260</v>
      </c>
      <c r="E2816" s="55" t="s">
        <v>5177</v>
      </c>
      <c r="F2816" s="55" t="s">
        <v>267</v>
      </c>
      <c r="G2816" s="55" t="s">
        <v>535</v>
      </c>
      <c r="H2816" s="50" t="s">
        <v>224</v>
      </c>
    </row>
    <row r="2817" spans="1:9" x14ac:dyDescent="0.2">
      <c r="C2817" s="195">
        <v>44725</v>
      </c>
      <c r="D2817" s="55">
        <v>280</v>
      </c>
      <c r="E2817" s="55" t="s">
        <v>5178</v>
      </c>
      <c r="F2817" s="55" t="s">
        <v>267</v>
      </c>
      <c r="G2817" s="55" t="s">
        <v>1109</v>
      </c>
      <c r="H2817" s="50" t="s">
        <v>224</v>
      </c>
    </row>
    <row r="2818" spans="1:9" x14ac:dyDescent="0.2">
      <c r="C2818" s="195">
        <v>44739</v>
      </c>
      <c r="D2818" s="55">
        <v>280</v>
      </c>
      <c r="E2818" s="55" t="s">
        <v>5179</v>
      </c>
      <c r="F2818" s="55" t="s">
        <v>263</v>
      </c>
      <c r="G2818" s="55" t="s">
        <v>3747</v>
      </c>
      <c r="H2818" s="50" t="s">
        <v>5180</v>
      </c>
    </row>
    <row r="2819" spans="1:9" x14ac:dyDescent="0.2">
      <c r="C2819" s="195">
        <v>44740</v>
      </c>
      <c r="D2819" s="55">
        <v>280</v>
      </c>
      <c r="E2819" s="55" t="s">
        <v>5181</v>
      </c>
      <c r="F2819" s="55" t="s">
        <v>267</v>
      </c>
      <c r="G2819" s="55" t="s">
        <v>442</v>
      </c>
      <c r="H2819" s="50" t="s">
        <v>5182</v>
      </c>
    </row>
    <row r="2820" spans="1:9" x14ac:dyDescent="0.2">
      <c r="C2820" s="195">
        <v>44729</v>
      </c>
      <c r="D2820" s="55">
        <v>280</v>
      </c>
      <c r="E2820" s="55" t="s">
        <v>5183</v>
      </c>
      <c r="F2820" s="55" t="s">
        <v>272</v>
      </c>
      <c r="G2820" s="55" t="s">
        <v>1040</v>
      </c>
      <c r="H2820" s="50" t="s">
        <v>5184</v>
      </c>
    </row>
    <row r="2821" spans="1:9" x14ac:dyDescent="0.2">
      <c r="C2821" s="195">
        <v>44742</v>
      </c>
      <c r="D2821" s="55">
        <v>260</v>
      </c>
      <c r="E2821" s="55" t="s">
        <v>5185</v>
      </c>
      <c r="F2821" s="55" t="s">
        <v>272</v>
      </c>
      <c r="G2821" s="55" t="s">
        <v>366</v>
      </c>
      <c r="H2821" s="50" t="s">
        <v>5186</v>
      </c>
    </row>
    <row r="2822" spans="1:9" x14ac:dyDescent="0.2">
      <c r="C2822" s="195">
        <v>44726</v>
      </c>
      <c r="D2822" s="55">
        <v>280</v>
      </c>
      <c r="E2822" s="55" t="s">
        <v>5187</v>
      </c>
      <c r="F2822" s="55" t="s">
        <v>263</v>
      </c>
      <c r="G2822" s="55" t="s">
        <v>633</v>
      </c>
      <c r="H2822" s="50" t="s">
        <v>224</v>
      </c>
    </row>
    <row r="2823" spans="1:9" x14ac:dyDescent="0.2">
      <c r="C2823" s="195">
        <v>44720</v>
      </c>
      <c r="D2823" s="55">
        <v>280</v>
      </c>
      <c r="E2823" s="55" t="s">
        <v>5188</v>
      </c>
      <c r="F2823" s="55" t="s">
        <v>263</v>
      </c>
      <c r="G2823" s="55" t="s">
        <v>633</v>
      </c>
      <c r="H2823" s="50" t="s">
        <v>224</v>
      </c>
    </row>
    <row r="2824" spans="1:9" x14ac:dyDescent="0.2">
      <c r="C2824" s="195">
        <v>44726</v>
      </c>
      <c r="D2824" s="55">
        <v>260</v>
      </c>
      <c r="E2824" s="55" t="s">
        <v>5189</v>
      </c>
      <c r="F2824" s="55" t="s">
        <v>192</v>
      </c>
      <c r="G2824" s="55" t="s">
        <v>563</v>
      </c>
      <c r="H2824" s="50" t="s">
        <v>224</v>
      </c>
    </row>
    <row r="2825" spans="1:9" x14ac:dyDescent="0.2">
      <c r="C2825" s="195">
        <v>44742</v>
      </c>
      <c r="D2825" s="55">
        <v>280</v>
      </c>
      <c r="E2825" s="55" t="s">
        <v>5190</v>
      </c>
      <c r="F2825" s="55" t="s">
        <v>231</v>
      </c>
      <c r="G2825" s="55" t="s">
        <v>421</v>
      </c>
      <c r="H2825" s="50" t="s">
        <v>5191</v>
      </c>
    </row>
    <row r="2826" spans="1:9" x14ac:dyDescent="0.2">
      <c r="C2826" s="195">
        <v>44742</v>
      </c>
      <c r="D2826" s="55">
        <v>260</v>
      </c>
      <c r="E2826" s="55" t="s">
        <v>5192</v>
      </c>
      <c r="F2826" s="55" t="s">
        <v>202</v>
      </c>
      <c r="G2826" s="55" t="s">
        <v>297</v>
      </c>
      <c r="H2826" s="50" t="s">
        <v>5193</v>
      </c>
    </row>
    <row r="2827" spans="1:9" x14ac:dyDescent="0.2">
      <c r="C2827" s="195">
        <v>44740</v>
      </c>
      <c r="D2827" s="55">
        <v>280</v>
      </c>
      <c r="E2827" s="55" t="s">
        <v>5194</v>
      </c>
      <c r="F2827" s="55" t="s">
        <v>231</v>
      </c>
      <c r="G2827" s="55" t="s">
        <v>2088</v>
      </c>
      <c r="H2827" s="50" t="s">
        <v>5195</v>
      </c>
    </row>
    <row r="2828" spans="1:9" x14ac:dyDescent="0.2">
      <c r="A2828" s="57">
        <v>622</v>
      </c>
      <c r="B2828" t="s">
        <v>836</v>
      </c>
      <c r="C2828" s="195">
        <v>44739</v>
      </c>
      <c r="D2828" s="55">
        <v>280</v>
      </c>
      <c r="E2828" s="55" t="s">
        <v>5196</v>
      </c>
      <c r="F2828" s="55" t="s">
        <v>219</v>
      </c>
      <c r="G2828" s="55" t="s">
        <v>540</v>
      </c>
      <c r="H2828" s="50" t="s">
        <v>224</v>
      </c>
      <c r="I2828" s="46" t="s">
        <v>837</v>
      </c>
    </row>
    <row r="2829" spans="1:9" x14ac:dyDescent="0.2">
      <c r="C2829" s="195">
        <v>44713</v>
      </c>
      <c r="D2829" s="55">
        <v>260</v>
      </c>
      <c r="E2829" s="55" t="s">
        <v>5197</v>
      </c>
      <c r="F2829" s="55" t="s">
        <v>210</v>
      </c>
      <c r="G2829" s="55" t="s">
        <v>1572</v>
      </c>
      <c r="H2829" s="50" t="s">
        <v>224</v>
      </c>
    </row>
    <row r="2830" spans="1:9" x14ac:dyDescent="0.2">
      <c r="C2830" s="195">
        <v>44725</v>
      </c>
      <c r="D2830" s="55">
        <v>280</v>
      </c>
      <c r="E2830" s="55" t="s">
        <v>5198</v>
      </c>
      <c r="F2830" s="55" t="s">
        <v>196</v>
      </c>
      <c r="G2830" s="55" t="s">
        <v>415</v>
      </c>
      <c r="H2830" s="50" t="s">
        <v>5199</v>
      </c>
    </row>
    <row r="2831" spans="1:9" x14ac:dyDescent="0.2">
      <c r="A2831" s="57">
        <v>622</v>
      </c>
      <c r="B2831" t="s">
        <v>836</v>
      </c>
      <c r="C2831" s="195">
        <v>44742</v>
      </c>
      <c r="D2831" s="55">
        <v>280</v>
      </c>
      <c r="E2831" s="55" t="s">
        <v>5200</v>
      </c>
      <c r="F2831" s="55" t="s">
        <v>231</v>
      </c>
      <c r="G2831" s="55" t="s">
        <v>1098</v>
      </c>
      <c r="I2831" s="46" t="s">
        <v>837</v>
      </c>
    </row>
    <row r="2832" spans="1:9" x14ac:dyDescent="0.2">
      <c r="C2832" s="195">
        <v>44732</v>
      </c>
      <c r="D2832" s="55">
        <v>260</v>
      </c>
      <c r="E2832" s="55" t="s">
        <v>5201</v>
      </c>
      <c r="F2832" s="55" t="s">
        <v>202</v>
      </c>
      <c r="G2832" s="55" t="s">
        <v>321</v>
      </c>
      <c r="H2832" s="50" t="s">
        <v>224</v>
      </c>
    </row>
    <row r="2833" spans="1:9" x14ac:dyDescent="0.2">
      <c r="C2833" s="195">
        <v>44714</v>
      </c>
      <c r="D2833" s="55">
        <v>280</v>
      </c>
      <c r="E2833" s="55" t="s">
        <v>5202</v>
      </c>
      <c r="F2833" s="55" t="s">
        <v>231</v>
      </c>
      <c r="G2833" s="55" t="s">
        <v>2088</v>
      </c>
      <c r="H2833" s="50" t="s">
        <v>5203</v>
      </c>
    </row>
    <row r="2834" spans="1:9" x14ac:dyDescent="0.2">
      <c r="C2834" s="195">
        <v>44715</v>
      </c>
      <c r="D2834" s="55">
        <v>280</v>
      </c>
      <c r="E2834" s="55" t="s">
        <v>5204</v>
      </c>
      <c r="F2834" s="55" t="s">
        <v>231</v>
      </c>
      <c r="G2834" s="55" t="s">
        <v>232</v>
      </c>
      <c r="H2834" s="50" t="s">
        <v>5205</v>
      </c>
    </row>
    <row r="2835" spans="1:9" x14ac:dyDescent="0.2">
      <c r="C2835" s="195">
        <v>44742</v>
      </c>
      <c r="D2835" s="55">
        <v>260</v>
      </c>
      <c r="E2835" s="55" t="s">
        <v>5206</v>
      </c>
      <c r="F2835" s="55" t="s">
        <v>196</v>
      </c>
      <c r="G2835" s="55" t="s">
        <v>415</v>
      </c>
      <c r="H2835" s="50" t="s">
        <v>5207</v>
      </c>
    </row>
    <row r="2836" spans="1:9" x14ac:dyDescent="0.2">
      <c r="C2836" s="195">
        <v>44713</v>
      </c>
      <c r="D2836" s="55">
        <v>260</v>
      </c>
      <c r="E2836" s="55" t="s">
        <v>5208</v>
      </c>
      <c r="F2836" s="55" t="s">
        <v>244</v>
      </c>
      <c r="G2836" s="55" t="s">
        <v>245</v>
      </c>
      <c r="H2836" s="50" t="s">
        <v>5209</v>
      </c>
    </row>
    <row r="2837" spans="1:9" x14ac:dyDescent="0.2">
      <c r="C2837" s="195">
        <v>44725</v>
      </c>
      <c r="D2837" s="55">
        <v>280</v>
      </c>
      <c r="E2837" s="55" t="s">
        <v>5210</v>
      </c>
      <c r="F2837" s="55" t="s">
        <v>267</v>
      </c>
      <c r="G2837" s="55" t="s">
        <v>4098</v>
      </c>
      <c r="H2837" s="50" t="s">
        <v>5211</v>
      </c>
    </row>
    <row r="2838" spans="1:9" x14ac:dyDescent="0.2">
      <c r="C2838" s="195">
        <v>44726</v>
      </c>
      <c r="D2838" s="55">
        <v>280</v>
      </c>
      <c r="E2838" s="55" t="s">
        <v>5212</v>
      </c>
      <c r="F2838" s="55" t="s">
        <v>390</v>
      </c>
      <c r="G2838" s="55" t="s">
        <v>408</v>
      </c>
      <c r="H2838" s="50" t="s">
        <v>5213</v>
      </c>
    </row>
    <row r="2839" spans="1:9" x14ac:dyDescent="0.2">
      <c r="C2839" s="195">
        <v>44735</v>
      </c>
      <c r="D2839" s="55">
        <v>260</v>
      </c>
      <c r="E2839" s="55" t="s">
        <v>5214</v>
      </c>
      <c r="F2839" s="55" t="s">
        <v>196</v>
      </c>
      <c r="G2839" s="55" t="s">
        <v>197</v>
      </c>
      <c r="H2839" s="50" t="s">
        <v>5215</v>
      </c>
    </row>
    <row r="2840" spans="1:9" x14ac:dyDescent="0.2">
      <c r="C2840" s="195">
        <v>44722</v>
      </c>
      <c r="D2840" s="55">
        <v>280</v>
      </c>
      <c r="E2840" s="55" t="s">
        <v>5216</v>
      </c>
      <c r="F2840" s="55" t="s">
        <v>231</v>
      </c>
      <c r="G2840" s="55" t="s">
        <v>232</v>
      </c>
      <c r="H2840" s="50" t="s">
        <v>5217</v>
      </c>
    </row>
    <row r="2841" spans="1:9" x14ac:dyDescent="0.2">
      <c r="C2841" s="195">
        <v>44713</v>
      </c>
      <c r="D2841" s="55">
        <v>280</v>
      </c>
      <c r="E2841" s="55" t="s">
        <v>5218</v>
      </c>
      <c r="F2841" s="55" t="s">
        <v>244</v>
      </c>
      <c r="G2841" s="55" t="s">
        <v>315</v>
      </c>
      <c r="H2841" s="50" t="s">
        <v>224</v>
      </c>
    </row>
    <row r="2842" spans="1:9" x14ac:dyDescent="0.2">
      <c r="C2842" s="195">
        <v>44739</v>
      </c>
      <c r="D2842" s="55">
        <v>260</v>
      </c>
      <c r="E2842" s="55" t="s">
        <v>5219</v>
      </c>
      <c r="F2842" s="55" t="s">
        <v>291</v>
      </c>
      <c r="G2842" s="55" t="s">
        <v>607</v>
      </c>
      <c r="H2842" s="50" t="s">
        <v>5220</v>
      </c>
    </row>
    <row r="2843" spans="1:9" x14ac:dyDescent="0.2">
      <c r="C2843" s="195">
        <v>44736</v>
      </c>
      <c r="D2843" s="55">
        <v>280</v>
      </c>
      <c r="E2843" s="55" t="s">
        <v>5221</v>
      </c>
      <c r="F2843" s="55" t="s">
        <v>263</v>
      </c>
      <c r="G2843" s="55" t="s">
        <v>579</v>
      </c>
      <c r="H2843" s="50" t="s">
        <v>5222</v>
      </c>
    </row>
    <row r="2844" spans="1:9" x14ac:dyDescent="0.2">
      <c r="C2844" s="195">
        <v>44735</v>
      </c>
      <c r="D2844" s="55">
        <v>260</v>
      </c>
      <c r="E2844" s="55" t="s">
        <v>5223</v>
      </c>
      <c r="F2844" s="55" t="s">
        <v>196</v>
      </c>
      <c r="G2844" s="55" t="s">
        <v>415</v>
      </c>
      <c r="H2844" s="50" t="s">
        <v>5224</v>
      </c>
    </row>
    <row r="2845" spans="1:9" x14ac:dyDescent="0.2">
      <c r="C2845" s="195">
        <v>44729</v>
      </c>
      <c r="D2845" s="55">
        <v>280</v>
      </c>
      <c r="E2845" s="55" t="s">
        <v>5225</v>
      </c>
      <c r="F2845" s="55" t="s">
        <v>206</v>
      </c>
      <c r="G2845" s="55" t="s">
        <v>568</v>
      </c>
      <c r="H2845" s="50" t="s">
        <v>5226</v>
      </c>
    </row>
    <row r="2846" spans="1:9" x14ac:dyDescent="0.2">
      <c r="A2846" s="57">
        <v>622</v>
      </c>
      <c r="B2846" t="s">
        <v>836</v>
      </c>
      <c r="C2846" s="195">
        <v>44736</v>
      </c>
      <c r="D2846" s="55">
        <v>260</v>
      </c>
      <c r="E2846" s="55" t="s">
        <v>5227</v>
      </c>
      <c r="F2846" s="55" t="s">
        <v>244</v>
      </c>
      <c r="G2846" s="55" t="s">
        <v>767</v>
      </c>
      <c r="H2846" s="50" t="s">
        <v>224</v>
      </c>
      <c r="I2846" s="46" t="s">
        <v>837</v>
      </c>
    </row>
    <row r="2847" spans="1:9" x14ac:dyDescent="0.2">
      <c r="A2847" s="57">
        <v>622</v>
      </c>
      <c r="B2847" t="s">
        <v>836</v>
      </c>
      <c r="C2847" s="195">
        <v>44742</v>
      </c>
      <c r="D2847" s="55">
        <v>260</v>
      </c>
      <c r="E2847" s="55" t="s">
        <v>5228</v>
      </c>
      <c r="F2847" s="55" t="s">
        <v>244</v>
      </c>
      <c r="G2847" s="55" t="s">
        <v>767</v>
      </c>
      <c r="H2847" s="50" t="s">
        <v>224</v>
      </c>
      <c r="I2847" s="46" t="s">
        <v>837</v>
      </c>
    </row>
    <row r="2848" spans="1:9" x14ac:dyDescent="0.2">
      <c r="C2848" s="195">
        <v>44742</v>
      </c>
      <c r="D2848" s="55">
        <v>280</v>
      </c>
      <c r="E2848" s="55" t="s">
        <v>5229</v>
      </c>
      <c r="F2848" s="55" t="s">
        <v>231</v>
      </c>
      <c r="G2848" s="55" t="s">
        <v>421</v>
      </c>
      <c r="H2848" s="50" t="s">
        <v>5230</v>
      </c>
    </row>
    <row r="2849" spans="3:8" x14ac:dyDescent="0.2">
      <c r="C2849" s="195">
        <v>44735</v>
      </c>
      <c r="D2849" s="55">
        <v>280</v>
      </c>
      <c r="E2849" s="55" t="s">
        <v>5231</v>
      </c>
      <c r="F2849" s="55" t="s">
        <v>206</v>
      </c>
      <c r="G2849" s="55" t="s">
        <v>548</v>
      </c>
      <c r="H2849" s="50" t="s">
        <v>5232</v>
      </c>
    </row>
    <row r="2850" spans="3:8" x14ac:dyDescent="0.2">
      <c r="C2850" s="195">
        <v>44740</v>
      </c>
      <c r="D2850" s="55">
        <v>260</v>
      </c>
      <c r="E2850" s="55" t="s">
        <v>5233</v>
      </c>
      <c r="F2850" s="55" t="s">
        <v>267</v>
      </c>
      <c r="G2850" s="55" t="s">
        <v>1109</v>
      </c>
      <c r="H2850" s="50" t="s">
        <v>5234</v>
      </c>
    </row>
    <row r="2851" spans="3:8" x14ac:dyDescent="0.2">
      <c r="C2851" s="195">
        <v>44720</v>
      </c>
      <c r="D2851" s="55">
        <v>280</v>
      </c>
      <c r="E2851" s="55" t="s">
        <v>5235</v>
      </c>
      <c r="F2851" s="55" t="s">
        <v>231</v>
      </c>
      <c r="G2851" s="55" t="s">
        <v>648</v>
      </c>
      <c r="H2851" s="50" t="s">
        <v>5236</v>
      </c>
    </row>
    <row r="2852" spans="3:8" x14ac:dyDescent="0.2">
      <c r="C2852" s="195">
        <v>44726</v>
      </c>
      <c r="D2852" s="55">
        <v>260</v>
      </c>
      <c r="E2852" s="55" t="s">
        <v>5237</v>
      </c>
      <c r="F2852" s="55" t="s">
        <v>263</v>
      </c>
      <c r="G2852" s="55" t="s">
        <v>1113</v>
      </c>
      <c r="H2852" s="50" t="s">
        <v>5238</v>
      </c>
    </row>
    <row r="2853" spans="3:8" x14ac:dyDescent="0.2">
      <c r="C2853" s="195">
        <v>44728</v>
      </c>
      <c r="D2853" s="55">
        <v>260</v>
      </c>
      <c r="E2853" s="55" t="s">
        <v>5239</v>
      </c>
      <c r="F2853" s="55" t="s">
        <v>206</v>
      </c>
      <c r="G2853" s="55" t="s">
        <v>568</v>
      </c>
      <c r="H2853" s="50" t="s">
        <v>5240</v>
      </c>
    </row>
    <row r="2854" spans="3:8" x14ac:dyDescent="0.2">
      <c r="C2854" s="195">
        <v>44732</v>
      </c>
      <c r="D2854" s="55">
        <v>260</v>
      </c>
      <c r="E2854" s="55" t="s">
        <v>5241</v>
      </c>
      <c r="F2854" s="55" t="s">
        <v>210</v>
      </c>
      <c r="G2854" s="55" t="s">
        <v>306</v>
      </c>
      <c r="H2854" s="50" t="s">
        <v>5242</v>
      </c>
    </row>
    <row r="2855" spans="3:8" x14ac:dyDescent="0.2">
      <c r="C2855" s="195">
        <v>44719</v>
      </c>
      <c r="D2855" s="55">
        <v>280</v>
      </c>
      <c r="E2855" s="55" t="s">
        <v>5243</v>
      </c>
      <c r="F2855" s="55" t="s">
        <v>210</v>
      </c>
      <c r="G2855" s="55" t="s">
        <v>1572</v>
      </c>
      <c r="H2855" s="50" t="s">
        <v>5244</v>
      </c>
    </row>
    <row r="2856" spans="3:8" x14ac:dyDescent="0.2">
      <c r="C2856" s="195">
        <v>44721</v>
      </c>
      <c r="D2856" s="55">
        <v>260</v>
      </c>
      <c r="E2856" s="55" t="s">
        <v>5245</v>
      </c>
      <c r="F2856" s="55" t="s">
        <v>263</v>
      </c>
      <c r="G2856" s="55" t="s">
        <v>892</v>
      </c>
      <c r="H2856" s="50" t="s">
        <v>5246</v>
      </c>
    </row>
    <row r="2857" spans="3:8" x14ac:dyDescent="0.2">
      <c r="C2857" s="195">
        <v>44742</v>
      </c>
      <c r="D2857" s="55">
        <v>280</v>
      </c>
      <c r="E2857" s="55" t="s">
        <v>5247</v>
      </c>
      <c r="F2857" s="55" t="s">
        <v>244</v>
      </c>
      <c r="G2857" s="55" t="s">
        <v>378</v>
      </c>
      <c r="H2857" s="50" t="s">
        <v>5248</v>
      </c>
    </row>
    <row r="2858" spans="3:8" x14ac:dyDescent="0.2">
      <c r="C2858" s="195">
        <v>44742</v>
      </c>
      <c r="D2858" s="55">
        <v>260</v>
      </c>
      <c r="E2858" s="55" t="s">
        <v>5249</v>
      </c>
      <c r="F2858" s="55" t="s">
        <v>231</v>
      </c>
      <c r="G2858" s="55" t="s">
        <v>371</v>
      </c>
      <c r="H2858" s="50" t="s">
        <v>5250</v>
      </c>
    </row>
    <row r="2859" spans="3:8" x14ac:dyDescent="0.2">
      <c r="C2859" s="195">
        <v>44742</v>
      </c>
      <c r="D2859" s="55">
        <v>260</v>
      </c>
      <c r="E2859" s="55" t="s">
        <v>5251</v>
      </c>
      <c r="F2859" s="55" t="s">
        <v>192</v>
      </c>
      <c r="G2859" s="55" t="s">
        <v>324</v>
      </c>
      <c r="H2859" s="50" t="s">
        <v>5252</v>
      </c>
    </row>
    <row r="2860" spans="3:8" x14ac:dyDescent="0.2">
      <c r="C2860" s="195">
        <v>44722</v>
      </c>
      <c r="D2860" s="55">
        <v>260</v>
      </c>
      <c r="E2860" s="55" t="s">
        <v>5253</v>
      </c>
      <c r="F2860" s="55" t="s">
        <v>219</v>
      </c>
      <c r="G2860" s="55" t="s">
        <v>220</v>
      </c>
      <c r="H2860" s="50" t="s">
        <v>5254</v>
      </c>
    </row>
    <row r="2861" spans="3:8" x14ac:dyDescent="0.2">
      <c r="C2861" s="195">
        <v>44722</v>
      </c>
      <c r="D2861" s="55">
        <v>280</v>
      </c>
      <c r="E2861" s="55" t="s">
        <v>5255</v>
      </c>
      <c r="F2861" s="55" t="s">
        <v>231</v>
      </c>
      <c r="G2861" s="55" t="s">
        <v>3096</v>
      </c>
      <c r="H2861" s="50" t="s">
        <v>5256</v>
      </c>
    </row>
    <row r="2862" spans="3:8" x14ac:dyDescent="0.2">
      <c r="C2862" s="195">
        <v>44729</v>
      </c>
      <c r="D2862" s="55">
        <v>260</v>
      </c>
      <c r="E2862" s="55" t="s">
        <v>5257</v>
      </c>
      <c r="F2862" s="55" t="s">
        <v>192</v>
      </c>
      <c r="G2862" s="55" t="s">
        <v>487</v>
      </c>
      <c r="H2862" s="50" t="s">
        <v>5258</v>
      </c>
    </row>
    <row r="2863" spans="3:8" x14ac:dyDescent="0.2">
      <c r="C2863" s="195">
        <v>44718</v>
      </c>
      <c r="D2863" s="55">
        <v>260</v>
      </c>
      <c r="E2863" s="55" t="s">
        <v>5259</v>
      </c>
      <c r="F2863" s="55" t="s">
        <v>231</v>
      </c>
      <c r="G2863" s="55" t="s">
        <v>421</v>
      </c>
      <c r="H2863" s="50" t="s">
        <v>5260</v>
      </c>
    </row>
    <row r="2864" spans="3:8" x14ac:dyDescent="0.2">
      <c r="C2864" s="195">
        <v>44736</v>
      </c>
      <c r="D2864" s="55">
        <v>260</v>
      </c>
      <c r="E2864" s="55" t="s">
        <v>5261</v>
      </c>
      <c r="F2864" s="55" t="s">
        <v>244</v>
      </c>
      <c r="G2864" s="55" t="s">
        <v>696</v>
      </c>
      <c r="H2864" s="50" t="s">
        <v>224</v>
      </c>
    </row>
    <row r="2865" spans="1:9" x14ac:dyDescent="0.2">
      <c r="C2865" s="195">
        <v>44732</v>
      </c>
      <c r="D2865" s="55">
        <v>260</v>
      </c>
      <c r="E2865" s="55" t="s">
        <v>5262</v>
      </c>
      <c r="F2865" s="55" t="s">
        <v>219</v>
      </c>
      <c r="G2865" s="55" t="s">
        <v>223</v>
      </c>
      <c r="H2865" s="50" t="s">
        <v>5263</v>
      </c>
    </row>
    <row r="2866" spans="1:9" x14ac:dyDescent="0.2">
      <c r="A2866" s="57" t="s">
        <v>836</v>
      </c>
      <c r="B2866">
        <v>622</v>
      </c>
      <c r="C2866" s="195">
        <v>44713</v>
      </c>
      <c r="D2866" s="55">
        <v>280</v>
      </c>
      <c r="E2866" s="55" t="s">
        <v>5264</v>
      </c>
      <c r="F2866" s="55" t="s">
        <v>206</v>
      </c>
      <c r="G2866" s="55" t="s">
        <v>568</v>
      </c>
      <c r="H2866" s="50" t="s">
        <v>224</v>
      </c>
      <c r="I2866" s="46" t="s">
        <v>837</v>
      </c>
    </row>
    <row r="2867" spans="1:9" x14ac:dyDescent="0.2">
      <c r="C2867" s="195">
        <v>44713</v>
      </c>
      <c r="D2867" s="55">
        <v>260</v>
      </c>
      <c r="E2867" s="55" t="s">
        <v>5265</v>
      </c>
      <c r="F2867" s="55" t="s">
        <v>263</v>
      </c>
      <c r="G2867" s="55" t="s">
        <v>806</v>
      </c>
      <c r="H2867" s="50" t="s">
        <v>5266</v>
      </c>
    </row>
    <row r="2868" spans="1:9" x14ac:dyDescent="0.2">
      <c r="C2868" s="195">
        <v>44729</v>
      </c>
      <c r="D2868" s="55">
        <v>260</v>
      </c>
      <c r="E2868" s="55" t="s">
        <v>5267</v>
      </c>
      <c r="F2868" s="55" t="s">
        <v>196</v>
      </c>
      <c r="G2868" s="55" t="s">
        <v>352</v>
      </c>
      <c r="H2868" s="50" t="s">
        <v>5268</v>
      </c>
    </row>
    <row r="2869" spans="1:9" x14ac:dyDescent="0.2">
      <c r="C2869" s="195">
        <v>44719</v>
      </c>
      <c r="D2869" s="55">
        <v>260</v>
      </c>
      <c r="E2869" s="55" t="s">
        <v>5269</v>
      </c>
      <c r="F2869" s="55" t="s">
        <v>231</v>
      </c>
      <c r="G2869" s="55" t="s">
        <v>648</v>
      </c>
      <c r="H2869" s="50" t="s">
        <v>224</v>
      </c>
    </row>
    <row r="2870" spans="1:9" x14ac:dyDescent="0.2">
      <c r="C2870" s="195">
        <v>44734</v>
      </c>
      <c r="D2870" s="55">
        <v>280</v>
      </c>
      <c r="E2870" s="55" t="s">
        <v>5270</v>
      </c>
      <c r="F2870" s="55" t="s">
        <v>196</v>
      </c>
      <c r="G2870" s="55" t="s">
        <v>197</v>
      </c>
      <c r="H2870" s="50" t="s">
        <v>224</v>
      </c>
    </row>
    <row r="2871" spans="1:9" x14ac:dyDescent="0.2">
      <c r="C2871" s="195">
        <v>44729</v>
      </c>
      <c r="D2871" s="55">
        <v>280</v>
      </c>
      <c r="E2871" s="55" t="s">
        <v>5271</v>
      </c>
      <c r="F2871" s="55" t="s">
        <v>196</v>
      </c>
      <c r="G2871" s="55" t="s">
        <v>352</v>
      </c>
      <c r="H2871" s="50" t="s">
        <v>5272</v>
      </c>
    </row>
    <row r="2872" spans="1:9" x14ac:dyDescent="0.2">
      <c r="C2872" s="195">
        <v>44727</v>
      </c>
      <c r="D2872" s="55">
        <v>260</v>
      </c>
      <c r="E2872" s="55" t="s">
        <v>5273</v>
      </c>
      <c r="F2872" s="55" t="s">
        <v>192</v>
      </c>
      <c r="G2872" s="55" t="s">
        <v>193</v>
      </c>
      <c r="H2872" s="50" t="s">
        <v>5274</v>
      </c>
    </row>
    <row r="2873" spans="1:9" x14ac:dyDescent="0.2">
      <c r="C2873" s="195">
        <v>44720</v>
      </c>
      <c r="D2873" s="55">
        <v>280</v>
      </c>
      <c r="E2873" s="55" t="s">
        <v>5275</v>
      </c>
      <c r="F2873" s="55" t="s">
        <v>206</v>
      </c>
      <c r="G2873" s="55" t="s">
        <v>228</v>
      </c>
      <c r="H2873" s="50" t="s">
        <v>5276</v>
      </c>
    </row>
    <row r="2874" spans="1:9" x14ac:dyDescent="0.2">
      <c r="C2874" s="195">
        <v>44728</v>
      </c>
      <c r="D2874" s="55">
        <v>280</v>
      </c>
      <c r="E2874" s="55" t="s">
        <v>5277</v>
      </c>
      <c r="F2874" s="55" t="s">
        <v>244</v>
      </c>
      <c r="G2874" s="55" t="s">
        <v>294</v>
      </c>
      <c r="H2874" s="50" t="s">
        <v>5278</v>
      </c>
    </row>
    <row r="2875" spans="1:9" x14ac:dyDescent="0.2">
      <c r="C2875" s="195">
        <v>44736</v>
      </c>
      <c r="D2875" s="55">
        <v>260</v>
      </c>
      <c r="E2875" s="55" t="s">
        <v>5279</v>
      </c>
      <c r="F2875" s="55" t="s">
        <v>291</v>
      </c>
      <c r="G2875" s="55" t="s">
        <v>1247</v>
      </c>
      <c r="H2875" s="50" t="s">
        <v>224</v>
      </c>
    </row>
    <row r="2876" spans="1:9" x14ac:dyDescent="0.2">
      <c r="C2876" s="195">
        <v>44714</v>
      </c>
      <c r="D2876" s="55">
        <v>260</v>
      </c>
      <c r="E2876" s="55" t="s">
        <v>5280</v>
      </c>
      <c r="F2876" s="55" t="s">
        <v>244</v>
      </c>
      <c r="G2876" s="55" t="s">
        <v>393</v>
      </c>
      <c r="H2876" s="50" t="s">
        <v>5281</v>
      </c>
    </row>
    <row r="2877" spans="1:9" x14ac:dyDescent="0.2">
      <c r="C2877" s="195">
        <v>44725</v>
      </c>
      <c r="D2877" s="55">
        <v>280</v>
      </c>
      <c r="E2877" s="55" t="s">
        <v>5282</v>
      </c>
      <c r="F2877" s="55" t="s">
        <v>210</v>
      </c>
      <c r="G2877" s="55" t="s">
        <v>1095</v>
      </c>
      <c r="H2877" s="50" t="s">
        <v>5283</v>
      </c>
    </row>
    <row r="2878" spans="1:9" x14ac:dyDescent="0.2">
      <c r="C2878" s="195">
        <v>44722</v>
      </c>
      <c r="D2878" s="55">
        <v>260</v>
      </c>
      <c r="E2878" s="55" t="s">
        <v>5284</v>
      </c>
      <c r="F2878" s="55" t="s">
        <v>390</v>
      </c>
      <c r="G2878" s="55" t="s">
        <v>391</v>
      </c>
      <c r="H2878" s="50" t="s">
        <v>5285</v>
      </c>
    </row>
    <row r="2879" spans="1:9" x14ac:dyDescent="0.2">
      <c r="C2879" s="195">
        <v>44721</v>
      </c>
      <c r="D2879" s="55">
        <v>280</v>
      </c>
      <c r="E2879" s="55" t="s">
        <v>5286</v>
      </c>
      <c r="F2879" s="55" t="s">
        <v>196</v>
      </c>
      <c r="G2879" s="55" t="s">
        <v>361</v>
      </c>
      <c r="H2879" s="50" t="s">
        <v>224</v>
      </c>
    </row>
    <row r="2880" spans="1:9" x14ac:dyDescent="0.2">
      <c r="C2880" s="195">
        <v>44736</v>
      </c>
      <c r="D2880" s="55">
        <v>260</v>
      </c>
      <c r="E2880" s="55" t="s">
        <v>5287</v>
      </c>
      <c r="F2880" s="55" t="s">
        <v>231</v>
      </c>
      <c r="G2880" s="55" t="s">
        <v>782</v>
      </c>
      <c r="H2880" s="50" t="s">
        <v>5288</v>
      </c>
    </row>
    <row r="2881" spans="1:62" x14ac:dyDescent="0.2">
      <c r="C2881" s="195">
        <v>44733</v>
      </c>
      <c r="D2881" s="55">
        <v>280</v>
      </c>
      <c r="E2881" s="55" t="s">
        <v>5289</v>
      </c>
      <c r="F2881" s="55" t="s">
        <v>263</v>
      </c>
      <c r="G2881" s="55" t="s">
        <v>633</v>
      </c>
      <c r="H2881" s="50" t="s">
        <v>5290</v>
      </c>
    </row>
    <row r="2882" spans="1:62" x14ac:dyDescent="0.2">
      <c r="C2882" s="195">
        <v>44729</v>
      </c>
      <c r="D2882" s="55">
        <v>260</v>
      </c>
      <c r="E2882" s="55" t="s">
        <v>5291</v>
      </c>
      <c r="F2882" s="55" t="s">
        <v>210</v>
      </c>
      <c r="G2882" s="55" t="s">
        <v>883</v>
      </c>
      <c r="H2882" s="50" t="s">
        <v>5292</v>
      </c>
    </row>
    <row r="2883" spans="1:62" x14ac:dyDescent="0.2">
      <c r="C2883" s="195">
        <v>44722</v>
      </c>
      <c r="D2883" s="55">
        <v>280</v>
      </c>
      <c r="E2883" s="55" t="s">
        <v>5293</v>
      </c>
      <c r="F2883" s="55" t="s">
        <v>390</v>
      </c>
      <c r="G2883" s="55" t="s">
        <v>391</v>
      </c>
      <c r="H2883" s="50" t="s">
        <v>5294</v>
      </c>
    </row>
    <row r="2884" spans="1:62" x14ac:dyDescent="0.2">
      <c r="C2884" s="195">
        <v>44728</v>
      </c>
      <c r="D2884" s="55">
        <v>280</v>
      </c>
      <c r="E2884" s="55" t="s">
        <v>5295</v>
      </c>
      <c r="F2884" s="55" t="s">
        <v>244</v>
      </c>
      <c r="G2884" s="55" t="s">
        <v>378</v>
      </c>
      <c r="H2884" s="50" t="s">
        <v>5296</v>
      </c>
    </row>
    <row r="2885" spans="1:62" x14ac:dyDescent="0.2">
      <c r="C2885" s="195">
        <v>44732</v>
      </c>
      <c r="D2885" s="55">
        <v>280</v>
      </c>
      <c r="E2885" s="55" t="s">
        <v>5297</v>
      </c>
      <c r="F2885" s="55" t="s">
        <v>210</v>
      </c>
      <c r="G2885" s="55" t="s">
        <v>496</v>
      </c>
      <c r="H2885" s="50" t="s">
        <v>5298</v>
      </c>
    </row>
    <row r="2886" spans="1:62" x14ac:dyDescent="0.2">
      <c r="C2886" s="195">
        <v>44722</v>
      </c>
      <c r="D2886" s="55">
        <v>260</v>
      </c>
      <c r="E2886" s="55" t="s">
        <v>5299</v>
      </c>
      <c r="F2886" s="55" t="s">
        <v>267</v>
      </c>
      <c r="G2886" s="55" t="s">
        <v>813</v>
      </c>
      <c r="H2886" s="50" t="s">
        <v>5300</v>
      </c>
    </row>
    <row r="2887" spans="1:62" x14ac:dyDescent="0.2">
      <c r="C2887" s="195">
        <v>44740</v>
      </c>
      <c r="D2887" s="55">
        <v>260</v>
      </c>
      <c r="E2887" s="55" t="s">
        <v>5301</v>
      </c>
      <c r="F2887" s="55" t="s">
        <v>291</v>
      </c>
      <c r="G2887" s="55" t="s">
        <v>819</v>
      </c>
      <c r="H2887" s="50" t="s">
        <v>5302</v>
      </c>
    </row>
    <row r="2888" spans="1:62" x14ac:dyDescent="0.2">
      <c r="C2888" s="195">
        <v>44718</v>
      </c>
      <c r="D2888" s="55">
        <v>280</v>
      </c>
      <c r="E2888" s="55" t="s">
        <v>5303</v>
      </c>
      <c r="F2888" s="55" t="s">
        <v>210</v>
      </c>
      <c r="G2888" s="55" t="s">
        <v>496</v>
      </c>
      <c r="H2888" s="50" t="s">
        <v>5304</v>
      </c>
    </row>
    <row r="2889" spans="1:62" x14ac:dyDescent="0.2">
      <c r="A2889" s="57">
        <v>622</v>
      </c>
      <c r="B2889" t="s">
        <v>836</v>
      </c>
      <c r="C2889" s="195">
        <v>44742</v>
      </c>
      <c r="D2889" s="55">
        <v>260</v>
      </c>
      <c r="E2889" s="55" t="s">
        <v>5305</v>
      </c>
      <c r="F2889" s="55" t="s">
        <v>244</v>
      </c>
      <c r="G2889" s="55" t="s">
        <v>2759</v>
      </c>
      <c r="H2889" s="50" t="s">
        <v>5306</v>
      </c>
      <c r="I2889" s="46" t="s">
        <v>839</v>
      </c>
      <c r="J2889" s="52">
        <v>1</v>
      </c>
      <c r="K2889" s="52">
        <v>1</v>
      </c>
      <c r="O2889" s="1">
        <v>1</v>
      </c>
      <c r="S2889" s="1">
        <v>1</v>
      </c>
      <c r="W2889" s="1">
        <v>1</v>
      </c>
      <c r="AA2889" s="1">
        <v>1</v>
      </c>
      <c r="AG2889">
        <v>1</v>
      </c>
      <c r="AM2889">
        <v>4</v>
      </c>
      <c r="AN2889">
        <v>3</v>
      </c>
      <c r="AO2889">
        <v>3</v>
      </c>
      <c r="AP2889">
        <v>3</v>
      </c>
      <c r="AQ2889">
        <v>3</v>
      </c>
      <c r="AR2889">
        <v>3</v>
      </c>
      <c r="AS2889">
        <v>4</v>
      </c>
      <c r="AT2889">
        <v>1</v>
      </c>
      <c r="AU2889">
        <v>1</v>
      </c>
      <c r="AZ2889">
        <v>1</v>
      </c>
      <c r="BA2889">
        <v>1</v>
      </c>
      <c r="BB2889">
        <v>1</v>
      </c>
      <c r="BC2889">
        <v>1</v>
      </c>
      <c r="BD2889">
        <v>1</v>
      </c>
      <c r="BE2889">
        <v>1</v>
      </c>
      <c r="BJ2889">
        <v>1</v>
      </c>
    </row>
    <row r="2890" spans="1:62" x14ac:dyDescent="0.2">
      <c r="C2890" s="195">
        <v>44714</v>
      </c>
      <c r="D2890" s="55">
        <v>280</v>
      </c>
      <c r="E2890" s="55" t="s">
        <v>5307</v>
      </c>
      <c r="F2890" s="55" t="s">
        <v>196</v>
      </c>
      <c r="G2890" s="55" t="s">
        <v>645</v>
      </c>
      <c r="H2890" s="50" t="s">
        <v>5308</v>
      </c>
    </row>
    <row r="2891" spans="1:62" x14ac:dyDescent="0.2">
      <c r="C2891" s="195">
        <v>44733</v>
      </c>
      <c r="D2891" s="55">
        <v>260</v>
      </c>
      <c r="E2891" s="55" t="s">
        <v>5309</v>
      </c>
      <c r="F2891" s="55" t="s">
        <v>272</v>
      </c>
      <c r="G2891" s="55" t="s">
        <v>1040</v>
      </c>
      <c r="H2891" s="50" t="s">
        <v>5310</v>
      </c>
    </row>
    <row r="2892" spans="1:62" x14ac:dyDescent="0.2">
      <c r="C2892" s="195">
        <v>44729</v>
      </c>
      <c r="D2892" s="55">
        <v>280</v>
      </c>
      <c r="E2892" s="55" t="s">
        <v>5311</v>
      </c>
      <c r="F2892" s="55" t="s">
        <v>231</v>
      </c>
      <c r="G2892" s="55" t="s">
        <v>782</v>
      </c>
      <c r="H2892" s="50" t="s">
        <v>5312</v>
      </c>
    </row>
    <row r="2893" spans="1:62" x14ac:dyDescent="0.2">
      <c r="C2893" s="195">
        <v>44741</v>
      </c>
      <c r="D2893" s="55">
        <v>260</v>
      </c>
      <c r="E2893" s="55" t="s">
        <v>5313</v>
      </c>
      <c r="F2893" s="55" t="s">
        <v>196</v>
      </c>
      <c r="G2893" s="55" t="s">
        <v>352</v>
      </c>
      <c r="H2893" s="50" t="s">
        <v>5314</v>
      </c>
    </row>
    <row r="2894" spans="1:62" x14ac:dyDescent="0.2">
      <c r="C2894" s="195">
        <v>44722</v>
      </c>
      <c r="D2894" s="55">
        <v>280</v>
      </c>
      <c r="E2894" s="55" t="s">
        <v>5315</v>
      </c>
      <c r="F2894" s="55" t="s">
        <v>390</v>
      </c>
      <c r="G2894" s="55" t="s">
        <v>391</v>
      </c>
      <c r="H2894" s="50" t="s">
        <v>5316</v>
      </c>
    </row>
    <row r="2895" spans="1:62" x14ac:dyDescent="0.2">
      <c r="C2895" s="195">
        <v>44726</v>
      </c>
      <c r="D2895" s="55">
        <v>280</v>
      </c>
      <c r="E2895" s="55" t="s">
        <v>5317</v>
      </c>
      <c r="F2895" s="55" t="s">
        <v>202</v>
      </c>
      <c r="G2895" s="55" t="s">
        <v>1146</v>
      </c>
      <c r="H2895" s="50" t="s">
        <v>5318</v>
      </c>
    </row>
    <row r="2896" spans="1:62" x14ac:dyDescent="0.2">
      <c r="C2896" s="195">
        <v>44727</v>
      </c>
      <c r="D2896" s="55">
        <v>280</v>
      </c>
      <c r="E2896" s="55" t="s">
        <v>5319</v>
      </c>
      <c r="F2896" s="55" t="s">
        <v>210</v>
      </c>
      <c r="G2896" s="55" t="s">
        <v>2684</v>
      </c>
      <c r="H2896" s="50" t="s">
        <v>5320</v>
      </c>
    </row>
    <row r="2897" spans="1:9" x14ac:dyDescent="0.2">
      <c r="C2897" s="195">
        <v>44732</v>
      </c>
      <c r="D2897" s="55">
        <v>260</v>
      </c>
      <c r="E2897" s="55" t="s">
        <v>5321</v>
      </c>
      <c r="F2897" s="55" t="s">
        <v>202</v>
      </c>
      <c r="G2897" s="55" t="s">
        <v>1146</v>
      </c>
      <c r="H2897" s="50" t="s">
        <v>5322</v>
      </c>
    </row>
    <row r="2898" spans="1:9" x14ac:dyDescent="0.2">
      <c r="C2898" s="195">
        <v>44726</v>
      </c>
      <c r="D2898" s="55">
        <v>260</v>
      </c>
      <c r="E2898" s="55" t="s">
        <v>5323</v>
      </c>
      <c r="F2898" s="55" t="s">
        <v>192</v>
      </c>
      <c r="G2898" s="55" t="s">
        <v>563</v>
      </c>
      <c r="H2898" s="50" t="s">
        <v>5324</v>
      </c>
    </row>
    <row r="2899" spans="1:9" x14ac:dyDescent="0.2">
      <c r="C2899" s="195">
        <v>44715</v>
      </c>
      <c r="D2899" s="55">
        <v>260</v>
      </c>
      <c r="E2899" s="55" t="s">
        <v>5325</v>
      </c>
      <c r="F2899" s="55" t="s">
        <v>263</v>
      </c>
      <c r="G2899" s="55" t="s">
        <v>264</v>
      </c>
      <c r="H2899" s="50" t="s">
        <v>5326</v>
      </c>
    </row>
    <row r="2900" spans="1:9" x14ac:dyDescent="0.2">
      <c r="C2900" s="195">
        <v>44740</v>
      </c>
      <c r="D2900" s="55">
        <v>280</v>
      </c>
      <c r="E2900" s="55" t="s">
        <v>5327</v>
      </c>
      <c r="F2900" s="55" t="s">
        <v>263</v>
      </c>
      <c r="G2900" s="55" t="s">
        <v>413</v>
      </c>
      <c r="H2900" s="50" t="s">
        <v>5328</v>
      </c>
    </row>
    <row r="2901" spans="1:9" x14ac:dyDescent="0.2">
      <c r="A2901" s="57">
        <v>622</v>
      </c>
      <c r="B2901" t="s">
        <v>836</v>
      </c>
      <c r="C2901" s="195">
        <v>44742</v>
      </c>
      <c r="D2901" s="55">
        <v>280</v>
      </c>
      <c r="E2901" s="55" t="s">
        <v>5329</v>
      </c>
      <c r="F2901" s="55" t="s">
        <v>231</v>
      </c>
      <c r="G2901" s="55" t="s">
        <v>435</v>
      </c>
      <c r="H2901" s="50" t="s">
        <v>224</v>
      </c>
      <c r="I2901" s="46" t="s">
        <v>837</v>
      </c>
    </row>
    <row r="2902" spans="1:9" x14ac:dyDescent="0.2">
      <c r="C2902" s="195">
        <v>44741</v>
      </c>
      <c r="D2902" s="55">
        <v>280</v>
      </c>
      <c r="E2902" s="55" t="s">
        <v>5330</v>
      </c>
      <c r="F2902" s="55" t="s">
        <v>244</v>
      </c>
      <c r="G2902" s="55" t="s">
        <v>393</v>
      </c>
    </row>
    <row r="2903" spans="1:9" x14ac:dyDescent="0.2">
      <c r="C2903" s="195">
        <v>44721</v>
      </c>
      <c r="D2903" s="55">
        <v>280</v>
      </c>
      <c r="E2903" s="55" t="s">
        <v>5331</v>
      </c>
      <c r="F2903" s="55" t="s">
        <v>263</v>
      </c>
      <c r="G2903" s="55" t="s">
        <v>426</v>
      </c>
      <c r="H2903" s="50" t="s">
        <v>5332</v>
      </c>
    </row>
    <row r="2904" spans="1:9" x14ac:dyDescent="0.2">
      <c r="C2904" s="195">
        <v>44713</v>
      </c>
      <c r="D2904" s="55">
        <v>260</v>
      </c>
      <c r="E2904" s="55" t="s">
        <v>5333</v>
      </c>
      <c r="F2904" s="55" t="s">
        <v>244</v>
      </c>
      <c r="G2904" s="55" t="s">
        <v>294</v>
      </c>
      <c r="H2904" s="50" t="s">
        <v>5334</v>
      </c>
    </row>
    <row r="2905" spans="1:9" x14ac:dyDescent="0.2">
      <c r="C2905" s="195">
        <v>44719</v>
      </c>
      <c r="D2905" s="55">
        <v>280</v>
      </c>
      <c r="E2905" s="55" t="s">
        <v>5335</v>
      </c>
      <c r="F2905" s="55" t="s">
        <v>210</v>
      </c>
      <c r="G2905" s="55" t="s">
        <v>418</v>
      </c>
      <c r="H2905" s="50" t="s">
        <v>5336</v>
      </c>
    </row>
    <row r="2906" spans="1:9" x14ac:dyDescent="0.2">
      <c r="C2906" s="195">
        <v>44727</v>
      </c>
      <c r="D2906" s="55">
        <v>280</v>
      </c>
      <c r="E2906" s="55" t="s">
        <v>5337</v>
      </c>
      <c r="F2906" s="55" t="s">
        <v>263</v>
      </c>
      <c r="G2906" s="55" t="s">
        <v>579</v>
      </c>
      <c r="H2906" s="50" t="s">
        <v>5338</v>
      </c>
    </row>
    <row r="2907" spans="1:9" x14ac:dyDescent="0.2">
      <c r="C2907" s="195">
        <v>44733</v>
      </c>
      <c r="D2907" s="55">
        <v>280</v>
      </c>
      <c r="E2907" s="55" t="s">
        <v>5339</v>
      </c>
      <c r="F2907" s="55" t="s">
        <v>196</v>
      </c>
      <c r="G2907" s="55" t="s">
        <v>197</v>
      </c>
      <c r="H2907" s="50" t="s">
        <v>224</v>
      </c>
    </row>
    <row r="2908" spans="1:9" x14ac:dyDescent="0.2">
      <c r="C2908" s="195">
        <v>44721</v>
      </c>
      <c r="D2908" s="55">
        <v>280</v>
      </c>
      <c r="E2908" s="55" t="s">
        <v>5340</v>
      </c>
      <c r="F2908" s="55" t="s">
        <v>244</v>
      </c>
      <c r="G2908" s="55" t="s">
        <v>245</v>
      </c>
      <c r="H2908" s="50" t="s">
        <v>5341</v>
      </c>
    </row>
    <row r="2909" spans="1:9" x14ac:dyDescent="0.2">
      <c r="C2909" s="195">
        <v>44722</v>
      </c>
      <c r="D2909" s="55">
        <v>280</v>
      </c>
      <c r="E2909" s="55" t="s">
        <v>5342</v>
      </c>
      <c r="F2909" s="55" t="s">
        <v>390</v>
      </c>
      <c r="G2909" s="55" t="s">
        <v>408</v>
      </c>
      <c r="H2909" s="50" t="s">
        <v>5343</v>
      </c>
    </row>
    <row r="2910" spans="1:9" x14ac:dyDescent="0.2">
      <c r="C2910" s="195">
        <v>44732</v>
      </c>
      <c r="D2910" s="55">
        <v>280</v>
      </c>
      <c r="E2910" s="55" t="s">
        <v>5344</v>
      </c>
      <c r="F2910" s="55" t="s">
        <v>263</v>
      </c>
      <c r="G2910" s="55" t="s">
        <v>413</v>
      </c>
      <c r="H2910" s="50" t="s">
        <v>5345</v>
      </c>
    </row>
    <row r="2911" spans="1:9" x14ac:dyDescent="0.2">
      <c r="C2911" s="195">
        <v>44742</v>
      </c>
      <c r="D2911" s="55">
        <v>260</v>
      </c>
      <c r="E2911" s="55" t="s">
        <v>5346</v>
      </c>
      <c r="F2911" s="55" t="s">
        <v>192</v>
      </c>
      <c r="G2911" s="55" t="s">
        <v>258</v>
      </c>
      <c r="H2911" s="50" t="s">
        <v>224</v>
      </c>
    </row>
    <row r="2912" spans="1:9" x14ac:dyDescent="0.2">
      <c r="C2912" s="195">
        <v>44740</v>
      </c>
      <c r="D2912" s="55">
        <v>260</v>
      </c>
      <c r="E2912" s="55" t="s">
        <v>5347</v>
      </c>
      <c r="F2912" s="55" t="s">
        <v>231</v>
      </c>
      <c r="G2912" s="55" t="s">
        <v>421</v>
      </c>
      <c r="H2912" s="50" t="s">
        <v>5348</v>
      </c>
    </row>
    <row r="2913" spans="1:9" x14ac:dyDescent="0.2">
      <c r="C2913" s="195">
        <v>44715</v>
      </c>
      <c r="D2913" s="55">
        <v>260</v>
      </c>
      <c r="E2913" s="55" t="s">
        <v>5349</v>
      </c>
      <c r="F2913" s="55" t="s">
        <v>272</v>
      </c>
      <c r="G2913" s="55" t="s">
        <v>273</v>
      </c>
      <c r="H2913" s="50" t="s">
        <v>5350</v>
      </c>
    </row>
    <row r="2914" spans="1:9" x14ac:dyDescent="0.2">
      <c r="C2914" s="195">
        <v>44713</v>
      </c>
      <c r="D2914" s="55">
        <v>280</v>
      </c>
      <c r="E2914" s="55" t="s">
        <v>5351</v>
      </c>
      <c r="F2914" s="55" t="s">
        <v>244</v>
      </c>
      <c r="G2914" s="55" t="s">
        <v>245</v>
      </c>
      <c r="H2914" s="50" t="s">
        <v>5352</v>
      </c>
    </row>
    <row r="2915" spans="1:9" x14ac:dyDescent="0.2">
      <c r="C2915" s="195">
        <v>44740</v>
      </c>
      <c r="D2915" s="55">
        <v>260</v>
      </c>
      <c r="E2915" s="55" t="s">
        <v>5353</v>
      </c>
      <c r="F2915" s="55" t="s">
        <v>267</v>
      </c>
      <c r="G2915" s="55" t="s">
        <v>1109</v>
      </c>
      <c r="H2915" s="50" t="s">
        <v>5354</v>
      </c>
    </row>
    <row r="2916" spans="1:9" x14ac:dyDescent="0.2">
      <c r="A2916" s="57">
        <v>622</v>
      </c>
      <c r="B2916" t="s">
        <v>836</v>
      </c>
      <c r="C2916" s="195">
        <v>44735</v>
      </c>
      <c r="D2916" s="55">
        <v>280</v>
      </c>
      <c r="E2916" s="55" t="s">
        <v>5355</v>
      </c>
      <c r="F2916" s="55" t="s">
        <v>231</v>
      </c>
      <c r="G2916" s="55" t="s">
        <v>782</v>
      </c>
      <c r="H2916" s="50" t="s">
        <v>224</v>
      </c>
      <c r="I2916" s="46" t="s">
        <v>837</v>
      </c>
    </row>
    <row r="2917" spans="1:9" x14ac:dyDescent="0.2">
      <c r="C2917" s="195">
        <v>44735</v>
      </c>
      <c r="D2917" s="55">
        <v>280</v>
      </c>
      <c r="E2917" s="55" t="s">
        <v>5356</v>
      </c>
      <c r="F2917" s="55" t="s">
        <v>291</v>
      </c>
      <c r="G2917" s="55" t="s">
        <v>607</v>
      </c>
      <c r="H2917" s="50" t="s">
        <v>5357</v>
      </c>
    </row>
    <row r="2918" spans="1:9" x14ac:dyDescent="0.2">
      <c r="C2918" s="195">
        <v>44740</v>
      </c>
      <c r="D2918" s="55">
        <v>260</v>
      </c>
      <c r="E2918" s="55" t="s">
        <v>5358</v>
      </c>
      <c r="F2918" s="55" t="s">
        <v>231</v>
      </c>
      <c r="G2918" s="55" t="s">
        <v>232</v>
      </c>
      <c r="H2918" s="50" t="s">
        <v>5359</v>
      </c>
    </row>
    <row r="2919" spans="1:9" x14ac:dyDescent="0.2">
      <c r="C2919" s="195">
        <v>44740</v>
      </c>
      <c r="D2919" s="55">
        <v>260</v>
      </c>
      <c r="E2919" s="55" t="s">
        <v>5360</v>
      </c>
      <c r="F2919" s="55" t="s">
        <v>206</v>
      </c>
      <c r="G2919" s="55" t="s">
        <v>568</v>
      </c>
      <c r="H2919" s="50" t="s">
        <v>5361</v>
      </c>
    </row>
    <row r="2920" spans="1:9" x14ac:dyDescent="0.2">
      <c r="C2920" s="195">
        <v>44719</v>
      </c>
      <c r="D2920" s="55">
        <v>280</v>
      </c>
      <c r="E2920" s="55" t="s">
        <v>5362</v>
      </c>
      <c r="F2920" s="55" t="s">
        <v>231</v>
      </c>
      <c r="G2920" s="55" t="s">
        <v>421</v>
      </c>
      <c r="H2920" s="50" t="s">
        <v>5363</v>
      </c>
    </row>
    <row r="2921" spans="1:9" x14ac:dyDescent="0.2">
      <c r="C2921" s="195">
        <v>44742</v>
      </c>
      <c r="D2921" s="55">
        <v>260</v>
      </c>
      <c r="E2921" s="55" t="s">
        <v>5364</v>
      </c>
      <c r="F2921" s="55" t="s">
        <v>244</v>
      </c>
      <c r="G2921" s="55" t="s">
        <v>767</v>
      </c>
      <c r="H2921" s="50" t="s">
        <v>5365</v>
      </c>
    </row>
    <row r="2922" spans="1:9" x14ac:dyDescent="0.2">
      <c r="C2922" s="195">
        <v>44715</v>
      </c>
      <c r="D2922" s="55">
        <v>260</v>
      </c>
      <c r="E2922" s="55" t="s">
        <v>5366</v>
      </c>
      <c r="F2922" s="55" t="s">
        <v>231</v>
      </c>
      <c r="G2922" s="55" t="s">
        <v>232</v>
      </c>
      <c r="H2922" s="50" t="s">
        <v>5367</v>
      </c>
    </row>
    <row r="2923" spans="1:9" x14ac:dyDescent="0.2">
      <c r="C2923" s="195">
        <v>44726</v>
      </c>
      <c r="D2923" s="55">
        <v>280</v>
      </c>
      <c r="E2923" s="55" t="s">
        <v>5368</v>
      </c>
      <c r="F2923" s="55" t="s">
        <v>206</v>
      </c>
      <c r="G2923" s="55" t="s">
        <v>207</v>
      </c>
      <c r="H2923" s="50" t="s">
        <v>5369</v>
      </c>
    </row>
    <row r="2924" spans="1:9" x14ac:dyDescent="0.2">
      <c r="C2924" s="195">
        <v>44713</v>
      </c>
      <c r="D2924" s="55">
        <v>260</v>
      </c>
      <c r="E2924" s="55" t="s">
        <v>5370</v>
      </c>
      <c r="F2924" s="55" t="s">
        <v>267</v>
      </c>
      <c r="G2924" s="55" t="s">
        <v>442</v>
      </c>
      <c r="H2924" s="50" t="s">
        <v>5371</v>
      </c>
    </row>
    <row r="2925" spans="1:9" x14ac:dyDescent="0.2">
      <c r="C2925" s="195">
        <v>44721</v>
      </c>
      <c r="D2925" s="55">
        <v>280</v>
      </c>
      <c r="E2925" s="55" t="s">
        <v>5372</v>
      </c>
      <c r="F2925" s="55" t="s">
        <v>244</v>
      </c>
      <c r="G2925" s="55" t="s">
        <v>245</v>
      </c>
      <c r="H2925" s="50" t="s">
        <v>224</v>
      </c>
    </row>
    <row r="2926" spans="1:9" x14ac:dyDescent="0.2">
      <c r="C2926" s="195">
        <v>44718</v>
      </c>
      <c r="D2926" s="55">
        <v>260</v>
      </c>
      <c r="E2926" s="55" t="s">
        <v>5373</v>
      </c>
      <c r="F2926" s="55" t="s">
        <v>272</v>
      </c>
      <c r="G2926" s="55" t="s">
        <v>366</v>
      </c>
      <c r="H2926" s="50" t="s">
        <v>5374</v>
      </c>
    </row>
    <row r="2927" spans="1:9" x14ac:dyDescent="0.2">
      <c r="C2927" s="195">
        <v>44736</v>
      </c>
      <c r="D2927" s="55">
        <v>260</v>
      </c>
      <c r="E2927" s="55" t="s">
        <v>5375</v>
      </c>
      <c r="F2927" s="55" t="s">
        <v>244</v>
      </c>
      <c r="G2927" s="55" t="s">
        <v>294</v>
      </c>
      <c r="H2927" s="50" t="s">
        <v>5376</v>
      </c>
    </row>
    <row r="2928" spans="1:9" x14ac:dyDescent="0.2">
      <c r="C2928" s="195">
        <v>44727</v>
      </c>
      <c r="D2928" s="55">
        <v>280</v>
      </c>
      <c r="E2928" s="55" t="s">
        <v>5377</v>
      </c>
      <c r="F2928" s="55" t="s">
        <v>263</v>
      </c>
      <c r="G2928" s="55" t="s">
        <v>579</v>
      </c>
      <c r="H2928" s="50" t="s">
        <v>224</v>
      </c>
    </row>
    <row r="2929" spans="1:62" x14ac:dyDescent="0.2">
      <c r="C2929" s="195">
        <v>44720</v>
      </c>
      <c r="D2929" s="55">
        <v>260</v>
      </c>
      <c r="E2929" s="55" t="s">
        <v>5378</v>
      </c>
      <c r="F2929" s="55" t="s">
        <v>196</v>
      </c>
      <c r="G2929" s="55" t="s">
        <v>464</v>
      </c>
      <c r="H2929" s="50" t="s">
        <v>5379</v>
      </c>
    </row>
    <row r="2930" spans="1:62" x14ac:dyDescent="0.2">
      <c r="C2930" s="195">
        <v>44714</v>
      </c>
      <c r="D2930" s="55">
        <v>260</v>
      </c>
      <c r="E2930" s="55" t="s">
        <v>5380</v>
      </c>
      <c r="F2930" s="55" t="s">
        <v>244</v>
      </c>
      <c r="G2930" s="55" t="s">
        <v>260</v>
      </c>
      <c r="H2930" s="50" t="s">
        <v>224</v>
      </c>
    </row>
    <row r="2931" spans="1:62" x14ac:dyDescent="0.2">
      <c r="C2931" s="195">
        <v>44728</v>
      </c>
      <c r="D2931" s="55">
        <v>280</v>
      </c>
      <c r="E2931" s="55" t="s">
        <v>5381</v>
      </c>
      <c r="F2931" s="55" t="s">
        <v>390</v>
      </c>
      <c r="G2931" s="55" t="s">
        <v>490</v>
      </c>
      <c r="H2931" s="50" t="s">
        <v>5382</v>
      </c>
    </row>
    <row r="2932" spans="1:62" x14ac:dyDescent="0.2">
      <c r="C2932" s="195">
        <v>44713</v>
      </c>
      <c r="D2932" s="55">
        <v>260</v>
      </c>
      <c r="E2932" s="55" t="s">
        <v>5383</v>
      </c>
      <c r="F2932" s="55" t="s">
        <v>272</v>
      </c>
      <c r="G2932" s="55" t="s">
        <v>366</v>
      </c>
      <c r="H2932" s="50" t="s">
        <v>5384</v>
      </c>
    </row>
    <row r="2933" spans="1:62" x14ac:dyDescent="0.2">
      <c r="C2933" s="195">
        <v>44732</v>
      </c>
      <c r="D2933" s="55">
        <v>260</v>
      </c>
      <c r="E2933" s="55" t="s">
        <v>5385</v>
      </c>
      <c r="F2933" s="55" t="s">
        <v>210</v>
      </c>
      <c r="G2933" s="55" t="s">
        <v>306</v>
      </c>
      <c r="H2933" s="50" t="s">
        <v>5386</v>
      </c>
    </row>
    <row r="2934" spans="1:62" x14ac:dyDescent="0.2">
      <c r="C2934" s="195">
        <v>44742</v>
      </c>
      <c r="D2934" s="55">
        <v>280</v>
      </c>
      <c r="E2934" s="55" t="s">
        <v>5387</v>
      </c>
      <c r="F2934" s="55" t="s">
        <v>206</v>
      </c>
      <c r="G2934" s="55" t="s">
        <v>214</v>
      </c>
      <c r="H2934" s="50" t="s">
        <v>5388</v>
      </c>
    </row>
    <row r="2935" spans="1:62" x14ac:dyDescent="0.2">
      <c r="C2935" s="195">
        <v>44728</v>
      </c>
      <c r="D2935" s="55">
        <v>260</v>
      </c>
      <c r="E2935" s="55" t="s">
        <v>5389</v>
      </c>
      <c r="F2935" s="55" t="s">
        <v>219</v>
      </c>
      <c r="G2935" s="55" t="s">
        <v>223</v>
      </c>
      <c r="H2935" s="50" t="s">
        <v>5390</v>
      </c>
    </row>
    <row r="2936" spans="1:62" x14ac:dyDescent="0.2">
      <c r="C2936" s="195">
        <v>44715</v>
      </c>
      <c r="D2936" s="55">
        <v>280</v>
      </c>
      <c r="E2936" s="55" t="s">
        <v>5391</v>
      </c>
      <c r="F2936" s="55" t="s">
        <v>202</v>
      </c>
      <c r="G2936" s="55" t="s">
        <v>2033</v>
      </c>
      <c r="H2936" s="50" t="s">
        <v>5392</v>
      </c>
    </row>
    <row r="2937" spans="1:62" x14ac:dyDescent="0.2">
      <c r="C2937" s="195">
        <v>44725</v>
      </c>
      <c r="D2937" s="55">
        <v>260</v>
      </c>
      <c r="E2937" s="55" t="s">
        <v>5393</v>
      </c>
      <c r="F2937" s="55" t="s">
        <v>272</v>
      </c>
      <c r="G2937" s="55" t="s">
        <v>1040</v>
      </c>
      <c r="H2937" s="50" t="s">
        <v>5394</v>
      </c>
    </row>
    <row r="2938" spans="1:62" x14ac:dyDescent="0.2">
      <c r="A2938" s="57">
        <v>622</v>
      </c>
      <c r="B2938" t="s">
        <v>836</v>
      </c>
      <c r="C2938" s="195">
        <v>44742</v>
      </c>
      <c r="D2938" s="55">
        <v>280</v>
      </c>
      <c r="E2938" s="55" t="s">
        <v>5395</v>
      </c>
      <c r="F2938" s="55" t="s">
        <v>231</v>
      </c>
      <c r="G2938" s="55" t="s">
        <v>435</v>
      </c>
      <c r="H2938" s="50" t="s">
        <v>224</v>
      </c>
      <c r="I2938" s="46" t="s">
        <v>839</v>
      </c>
      <c r="J2938" s="52">
        <v>1</v>
      </c>
      <c r="K2938" s="52">
        <v>1</v>
      </c>
      <c r="O2938" s="1">
        <v>1</v>
      </c>
      <c r="S2938" s="1">
        <v>1</v>
      </c>
      <c r="W2938" s="1">
        <v>1</v>
      </c>
      <c r="AA2938" s="1">
        <v>1</v>
      </c>
      <c r="AG2938">
        <v>2</v>
      </c>
      <c r="AM2938">
        <v>3</v>
      </c>
      <c r="AS2938">
        <v>4</v>
      </c>
      <c r="AT2938">
        <v>1</v>
      </c>
      <c r="AU2938">
        <v>1</v>
      </c>
      <c r="AZ2938">
        <v>1</v>
      </c>
      <c r="BA2938">
        <v>1</v>
      </c>
      <c r="BB2938">
        <v>1</v>
      </c>
      <c r="BC2938">
        <v>1</v>
      </c>
      <c r="BD2938">
        <v>1</v>
      </c>
      <c r="BE2938">
        <v>1</v>
      </c>
      <c r="BJ2938">
        <v>1</v>
      </c>
    </row>
    <row r="2939" spans="1:62" x14ac:dyDescent="0.2">
      <c r="C2939" s="195">
        <v>44742</v>
      </c>
      <c r="D2939" s="55">
        <v>260</v>
      </c>
      <c r="E2939" s="55" t="s">
        <v>5396</v>
      </c>
      <c r="F2939" s="55" t="s">
        <v>272</v>
      </c>
      <c r="G2939" s="55" t="s">
        <v>273</v>
      </c>
      <c r="H2939" s="50" t="s">
        <v>5397</v>
      </c>
    </row>
    <row r="2940" spans="1:62" x14ac:dyDescent="0.2">
      <c r="C2940" s="195">
        <v>44736</v>
      </c>
      <c r="D2940" s="55">
        <v>260</v>
      </c>
      <c r="E2940" s="55" t="s">
        <v>5398</v>
      </c>
      <c r="F2940" s="55" t="s">
        <v>267</v>
      </c>
      <c r="G2940" s="55" t="s">
        <v>1109</v>
      </c>
      <c r="H2940" s="50" t="s">
        <v>5399</v>
      </c>
    </row>
    <row r="2941" spans="1:62" x14ac:dyDescent="0.2">
      <c r="C2941" s="195">
        <v>44735</v>
      </c>
      <c r="D2941" s="55">
        <v>260</v>
      </c>
      <c r="E2941" s="55" t="s">
        <v>5400</v>
      </c>
      <c r="F2941" s="55" t="s">
        <v>196</v>
      </c>
      <c r="G2941" s="55" t="s">
        <v>415</v>
      </c>
      <c r="H2941" s="50" t="s">
        <v>5401</v>
      </c>
    </row>
    <row r="2942" spans="1:62" x14ac:dyDescent="0.2">
      <c r="C2942" s="195">
        <v>44727</v>
      </c>
      <c r="D2942" s="55">
        <v>280</v>
      </c>
      <c r="E2942" s="55" t="s">
        <v>5402</v>
      </c>
      <c r="F2942" s="55" t="s">
        <v>210</v>
      </c>
      <c r="G2942" s="55" t="s">
        <v>496</v>
      </c>
      <c r="H2942" s="50" t="s">
        <v>5403</v>
      </c>
    </row>
    <row r="2943" spans="1:62" x14ac:dyDescent="0.2">
      <c r="C2943" s="195">
        <v>44713</v>
      </c>
      <c r="D2943" s="55">
        <v>280</v>
      </c>
      <c r="E2943" s="55" t="s">
        <v>5404</v>
      </c>
      <c r="F2943" s="55" t="s">
        <v>202</v>
      </c>
      <c r="G2943" s="55" t="s">
        <v>302</v>
      </c>
      <c r="H2943" s="50" t="s">
        <v>5405</v>
      </c>
    </row>
    <row r="2944" spans="1:62" x14ac:dyDescent="0.2">
      <c r="C2944" s="195">
        <v>44736</v>
      </c>
      <c r="D2944" s="55">
        <v>260</v>
      </c>
      <c r="E2944" s="55" t="s">
        <v>5406</v>
      </c>
      <c r="F2944" s="55" t="s">
        <v>291</v>
      </c>
      <c r="G2944" s="55" t="s">
        <v>1247</v>
      </c>
      <c r="H2944" s="50" t="s">
        <v>5407</v>
      </c>
    </row>
    <row r="2945" spans="3:8" x14ac:dyDescent="0.2">
      <c r="C2945" s="195">
        <v>44722</v>
      </c>
      <c r="D2945" s="55">
        <v>280</v>
      </c>
      <c r="E2945" s="55" t="s">
        <v>5408</v>
      </c>
      <c r="F2945" s="55" t="s">
        <v>231</v>
      </c>
      <c r="G2945" s="55" t="s">
        <v>3096</v>
      </c>
      <c r="H2945" s="50" t="s">
        <v>5409</v>
      </c>
    </row>
    <row r="2946" spans="3:8" x14ac:dyDescent="0.2">
      <c r="C2946" s="195">
        <v>44720</v>
      </c>
      <c r="D2946" s="55">
        <v>260</v>
      </c>
      <c r="E2946" s="55" t="s">
        <v>5410</v>
      </c>
      <c r="F2946" s="55" t="s">
        <v>210</v>
      </c>
      <c r="G2946" s="55" t="s">
        <v>211</v>
      </c>
      <c r="H2946" s="50" t="s">
        <v>5411</v>
      </c>
    </row>
    <row r="2947" spans="3:8" x14ac:dyDescent="0.2">
      <c r="C2947" s="195">
        <v>44742</v>
      </c>
      <c r="D2947" s="55">
        <v>260</v>
      </c>
      <c r="E2947" s="55" t="s">
        <v>5412</v>
      </c>
      <c r="F2947" s="55" t="s">
        <v>192</v>
      </c>
      <c r="G2947" s="55" t="s">
        <v>487</v>
      </c>
      <c r="H2947" s="50" t="s">
        <v>5413</v>
      </c>
    </row>
    <row r="2948" spans="3:8" x14ac:dyDescent="0.2">
      <c r="C2948" s="195">
        <v>44713</v>
      </c>
      <c r="D2948" s="55">
        <v>280</v>
      </c>
      <c r="E2948" s="55" t="s">
        <v>5414</v>
      </c>
      <c r="F2948" s="55" t="s">
        <v>272</v>
      </c>
      <c r="G2948" s="55" t="s">
        <v>1040</v>
      </c>
      <c r="H2948" s="50" t="s">
        <v>5415</v>
      </c>
    </row>
    <row r="2949" spans="3:8" x14ac:dyDescent="0.2">
      <c r="C2949" s="195">
        <v>44718</v>
      </c>
      <c r="D2949" s="55">
        <v>280</v>
      </c>
      <c r="E2949" s="55" t="s">
        <v>5416</v>
      </c>
      <c r="F2949" s="55" t="s">
        <v>196</v>
      </c>
      <c r="G2949" s="55" t="s">
        <v>645</v>
      </c>
      <c r="H2949" s="50" t="s">
        <v>5417</v>
      </c>
    </row>
    <row r="2950" spans="3:8" x14ac:dyDescent="0.2">
      <c r="C2950" s="195">
        <v>44722</v>
      </c>
      <c r="D2950" s="55">
        <v>260</v>
      </c>
      <c r="E2950" s="55" t="s">
        <v>5418</v>
      </c>
      <c r="F2950" s="55" t="s">
        <v>206</v>
      </c>
      <c r="G2950" s="55" t="s">
        <v>228</v>
      </c>
      <c r="H2950" s="50" t="s">
        <v>5419</v>
      </c>
    </row>
    <row r="2951" spans="3:8" x14ac:dyDescent="0.2">
      <c r="C2951" s="195">
        <v>44722</v>
      </c>
      <c r="D2951" s="55">
        <v>260</v>
      </c>
      <c r="E2951" s="55" t="s">
        <v>5420</v>
      </c>
      <c r="F2951" s="55" t="s">
        <v>231</v>
      </c>
      <c r="G2951" s="55" t="s">
        <v>232</v>
      </c>
      <c r="H2951" s="50" t="s">
        <v>224</v>
      </c>
    </row>
    <row r="2952" spans="3:8" x14ac:dyDescent="0.2">
      <c r="C2952" s="195">
        <v>44739</v>
      </c>
      <c r="D2952" s="55">
        <v>260</v>
      </c>
      <c r="E2952" s="55" t="s">
        <v>5421</v>
      </c>
      <c r="F2952" s="55" t="s">
        <v>192</v>
      </c>
      <c r="G2952" s="55" t="s">
        <v>563</v>
      </c>
      <c r="H2952" s="50" t="s">
        <v>5422</v>
      </c>
    </row>
    <row r="2953" spans="3:8" x14ac:dyDescent="0.2">
      <c r="C2953" s="195">
        <v>44722</v>
      </c>
      <c r="D2953" s="55">
        <v>280</v>
      </c>
      <c r="E2953" s="55" t="s">
        <v>5423</v>
      </c>
      <c r="F2953" s="55" t="s">
        <v>231</v>
      </c>
      <c r="G2953" s="55" t="s">
        <v>371</v>
      </c>
      <c r="H2953" s="50" t="s">
        <v>5424</v>
      </c>
    </row>
    <row r="2954" spans="3:8" x14ac:dyDescent="0.2">
      <c r="C2954" s="195">
        <v>44715</v>
      </c>
      <c r="D2954" s="55">
        <v>280</v>
      </c>
      <c r="E2954" s="55" t="s">
        <v>5425</v>
      </c>
      <c r="F2954" s="55" t="s">
        <v>210</v>
      </c>
      <c r="G2954" s="55" t="s">
        <v>235</v>
      </c>
      <c r="H2954" s="50" t="s">
        <v>5426</v>
      </c>
    </row>
    <row r="2955" spans="3:8" x14ac:dyDescent="0.2">
      <c r="C2955" s="195">
        <v>44714</v>
      </c>
      <c r="D2955" s="55">
        <v>280</v>
      </c>
      <c r="E2955" s="55" t="s">
        <v>5427</v>
      </c>
      <c r="F2955" s="55" t="s">
        <v>206</v>
      </c>
      <c r="G2955" s="55" t="s">
        <v>568</v>
      </c>
      <c r="H2955" s="50" t="s">
        <v>5428</v>
      </c>
    </row>
    <row r="2956" spans="3:8" x14ac:dyDescent="0.2">
      <c r="C2956" s="195">
        <v>44713</v>
      </c>
      <c r="D2956" s="55">
        <v>280</v>
      </c>
      <c r="E2956" s="55" t="s">
        <v>5429</v>
      </c>
      <c r="F2956" s="55" t="s">
        <v>192</v>
      </c>
      <c r="G2956" s="55" t="s">
        <v>487</v>
      </c>
      <c r="H2956" s="50" t="s">
        <v>224</v>
      </c>
    </row>
    <row r="2957" spans="3:8" x14ac:dyDescent="0.2">
      <c r="C2957" s="195">
        <v>44732</v>
      </c>
      <c r="D2957" s="55">
        <v>260</v>
      </c>
      <c r="E2957" s="55" t="s">
        <v>5430</v>
      </c>
      <c r="F2957" s="55" t="s">
        <v>202</v>
      </c>
      <c r="G2957" s="55" t="s">
        <v>297</v>
      </c>
      <c r="H2957" s="50" t="s">
        <v>5431</v>
      </c>
    </row>
    <row r="2958" spans="3:8" x14ac:dyDescent="0.2">
      <c r="C2958" s="195">
        <v>44742</v>
      </c>
      <c r="D2958" s="55">
        <v>260</v>
      </c>
      <c r="E2958" s="55" t="s">
        <v>5432</v>
      </c>
      <c r="F2958" s="55" t="s">
        <v>196</v>
      </c>
      <c r="G2958" s="55" t="s">
        <v>352</v>
      </c>
      <c r="H2958" s="50" t="s">
        <v>5433</v>
      </c>
    </row>
    <row r="2959" spans="3:8" x14ac:dyDescent="0.2">
      <c r="C2959" s="195">
        <v>44734</v>
      </c>
      <c r="D2959" s="55">
        <v>260</v>
      </c>
      <c r="E2959" s="55" t="s">
        <v>5434</v>
      </c>
      <c r="F2959" s="55" t="s">
        <v>196</v>
      </c>
      <c r="G2959" s="55" t="s">
        <v>415</v>
      </c>
      <c r="H2959" s="50" t="s">
        <v>5435</v>
      </c>
    </row>
    <row r="2960" spans="3:8" x14ac:dyDescent="0.2">
      <c r="C2960" s="195">
        <v>44733</v>
      </c>
      <c r="D2960" s="55">
        <v>260</v>
      </c>
      <c r="E2960" s="55" t="s">
        <v>5436</v>
      </c>
      <c r="F2960" s="55" t="s">
        <v>272</v>
      </c>
      <c r="G2960" s="55" t="s">
        <v>1040</v>
      </c>
      <c r="H2960" s="50" t="s">
        <v>5437</v>
      </c>
    </row>
    <row r="2961" spans="3:8" x14ac:dyDescent="0.2">
      <c r="C2961" s="195">
        <v>44733</v>
      </c>
      <c r="D2961" s="55">
        <v>280</v>
      </c>
      <c r="E2961" s="55" t="s">
        <v>5438</v>
      </c>
      <c r="F2961" s="55" t="s">
        <v>219</v>
      </c>
      <c r="G2961" s="55" t="s">
        <v>223</v>
      </c>
      <c r="H2961" s="50" t="s">
        <v>224</v>
      </c>
    </row>
    <row r="2962" spans="3:8" x14ac:dyDescent="0.2">
      <c r="C2962" s="195">
        <v>44725</v>
      </c>
      <c r="D2962" s="55">
        <v>280</v>
      </c>
      <c r="E2962" s="55" t="s">
        <v>5439</v>
      </c>
      <c r="F2962" s="55" t="s">
        <v>231</v>
      </c>
      <c r="G2962" s="55" t="s">
        <v>421</v>
      </c>
      <c r="H2962" s="50" t="s">
        <v>5440</v>
      </c>
    </row>
    <row r="2963" spans="3:8" x14ac:dyDescent="0.2">
      <c r="C2963" s="195">
        <v>44732</v>
      </c>
      <c r="D2963" s="55">
        <v>280</v>
      </c>
      <c r="E2963" s="55" t="s">
        <v>5441</v>
      </c>
      <c r="F2963" s="55" t="s">
        <v>231</v>
      </c>
      <c r="G2963" s="55" t="s">
        <v>421</v>
      </c>
      <c r="H2963" s="50" t="s">
        <v>5442</v>
      </c>
    </row>
    <row r="2964" spans="3:8" x14ac:dyDescent="0.2">
      <c r="C2964" s="195">
        <v>44742</v>
      </c>
      <c r="D2964" s="55">
        <v>260</v>
      </c>
      <c r="E2964" s="55" t="s">
        <v>5443</v>
      </c>
      <c r="F2964" s="55" t="s">
        <v>219</v>
      </c>
      <c r="G2964" s="55" t="s">
        <v>223</v>
      </c>
      <c r="H2964" s="50" t="s">
        <v>5444</v>
      </c>
    </row>
    <row r="2965" spans="3:8" x14ac:dyDescent="0.2">
      <c r="C2965" s="195">
        <v>44741</v>
      </c>
      <c r="D2965" s="55">
        <v>260</v>
      </c>
      <c r="E2965" s="55" t="s">
        <v>5445</v>
      </c>
      <c r="F2965" s="55" t="s">
        <v>196</v>
      </c>
      <c r="G2965" s="55" t="s">
        <v>5446</v>
      </c>
      <c r="H2965" s="50" t="s">
        <v>5447</v>
      </c>
    </row>
    <row r="2966" spans="3:8" x14ac:dyDescent="0.2">
      <c r="C2966" s="195">
        <v>44741</v>
      </c>
      <c r="D2966" s="55">
        <v>260</v>
      </c>
      <c r="E2966" s="55" t="s">
        <v>5448</v>
      </c>
      <c r="F2966" s="55" t="s">
        <v>196</v>
      </c>
      <c r="G2966" s="55" t="s">
        <v>352</v>
      </c>
      <c r="H2966" s="50" t="s">
        <v>5449</v>
      </c>
    </row>
    <row r="2967" spans="3:8" x14ac:dyDescent="0.2">
      <c r="C2967" s="195">
        <v>44718</v>
      </c>
      <c r="D2967" s="55">
        <v>280</v>
      </c>
      <c r="E2967" s="55" t="s">
        <v>5450</v>
      </c>
      <c r="F2967" s="55" t="s">
        <v>244</v>
      </c>
      <c r="G2967" s="55" t="s">
        <v>696</v>
      </c>
      <c r="H2967" s="50" t="s">
        <v>5451</v>
      </c>
    </row>
    <row r="2968" spans="3:8" x14ac:dyDescent="0.2">
      <c r="C2968" s="195">
        <v>44719</v>
      </c>
      <c r="D2968" s="55">
        <v>260</v>
      </c>
      <c r="E2968" s="55" t="s">
        <v>5452</v>
      </c>
      <c r="F2968" s="55" t="s">
        <v>231</v>
      </c>
      <c r="G2968" s="55" t="s">
        <v>648</v>
      </c>
      <c r="H2968" s="50" t="s">
        <v>5453</v>
      </c>
    </row>
    <row r="2969" spans="3:8" x14ac:dyDescent="0.2">
      <c r="C2969" s="195">
        <v>44736</v>
      </c>
      <c r="D2969" s="55">
        <v>280</v>
      </c>
      <c r="E2969" s="55" t="s">
        <v>5454</v>
      </c>
      <c r="F2969" s="55" t="s">
        <v>231</v>
      </c>
      <c r="G2969" s="55" t="s">
        <v>782</v>
      </c>
      <c r="H2969" s="50" t="s">
        <v>5455</v>
      </c>
    </row>
    <row r="2970" spans="3:8" x14ac:dyDescent="0.2">
      <c r="C2970" s="195">
        <v>44725</v>
      </c>
      <c r="D2970" s="55">
        <v>280</v>
      </c>
      <c r="E2970" s="55" t="s">
        <v>5456</v>
      </c>
      <c r="F2970" s="55" t="s">
        <v>192</v>
      </c>
      <c r="G2970" s="55" t="s">
        <v>258</v>
      </c>
      <c r="H2970" s="50" t="s">
        <v>5457</v>
      </c>
    </row>
    <row r="2971" spans="3:8" x14ac:dyDescent="0.2">
      <c r="C2971" s="195">
        <v>44729</v>
      </c>
      <c r="D2971" s="55">
        <v>260</v>
      </c>
      <c r="E2971" s="55" t="s">
        <v>5458</v>
      </c>
      <c r="F2971" s="55" t="s">
        <v>202</v>
      </c>
      <c r="G2971" s="55" t="s">
        <v>1146</v>
      </c>
      <c r="H2971" s="50" t="s">
        <v>5459</v>
      </c>
    </row>
    <row r="2972" spans="3:8" x14ac:dyDescent="0.2">
      <c r="C2972" s="195">
        <v>44725</v>
      </c>
      <c r="D2972" s="55">
        <v>280</v>
      </c>
      <c r="E2972" s="55" t="s">
        <v>5460</v>
      </c>
      <c r="F2972" s="55" t="s">
        <v>210</v>
      </c>
      <c r="G2972" s="55" t="s">
        <v>1095</v>
      </c>
      <c r="H2972" s="50" t="s">
        <v>5461</v>
      </c>
    </row>
    <row r="2973" spans="3:8" x14ac:dyDescent="0.2">
      <c r="C2973" s="195">
        <v>44727</v>
      </c>
      <c r="D2973" s="55">
        <v>280</v>
      </c>
      <c r="E2973" s="55" t="s">
        <v>5462</v>
      </c>
      <c r="F2973" s="55" t="s">
        <v>244</v>
      </c>
      <c r="G2973" s="55" t="s">
        <v>393</v>
      </c>
      <c r="H2973" s="50" t="s">
        <v>5463</v>
      </c>
    </row>
    <row r="2974" spans="3:8" x14ac:dyDescent="0.2">
      <c r="C2974" s="195">
        <v>44742</v>
      </c>
      <c r="D2974" s="55">
        <v>280</v>
      </c>
      <c r="E2974" s="55" t="s">
        <v>5464</v>
      </c>
      <c r="F2974" s="55" t="s">
        <v>291</v>
      </c>
      <c r="G2974" s="55" t="s">
        <v>643</v>
      </c>
      <c r="H2974" s="50" t="s">
        <v>224</v>
      </c>
    </row>
    <row r="2975" spans="3:8" x14ac:dyDescent="0.2">
      <c r="C2975" s="195">
        <v>44736</v>
      </c>
      <c r="D2975" s="55">
        <v>280</v>
      </c>
      <c r="E2975" s="55" t="s">
        <v>5465</v>
      </c>
      <c r="F2975" s="55" t="s">
        <v>192</v>
      </c>
      <c r="G2975" s="55" t="s">
        <v>401</v>
      </c>
      <c r="H2975" s="50" t="s">
        <v>5466</v>
      </c>
    </row>
    <row r="2976" spans="3:8" x14ac:dyDescent="0.2">
      <c r="C2976" s="195">
        <v>44742</v>
      </c>
      <c r="D2976" s="55">
        <v>260</v>
      </c>
      <c r="E2976" s="55" t="s">
        <v>5467</v>
      </c>
      <c r="F2976" s="55" t="s">
        <v>202</v>
      </c>
      <c r="G2976" s="55" t="s">
        <v>297</v>
      </c>
      <c r="H2976" s="50" t="s">
        <v>5468</v>
      </c>
    </row>
    <row r="2977" spans="1:66" x14ac:dyDescent="0.2">
      <c r="C2977" s="195">
        <v>44726</v>
      </c>
      <c r="D2977" s="55">
        <v>280</v>
      </c>
      <c r="E2977" s="55" t="s">
        <v>5469</v>
      </c>
      <c r="F2977" s="55" t="s">
        <v>231</v>
      </c>
      <c r="G2977" s="55" t="s">
        <v>255</v>
      </c>
      <c r="H2977" s="50" t="s">
        <v>5470</v>
      </c>
    </row>
    <row r="2978" spans="1:66" x14ac:dyDescent="0.2">
      <c r="A2978" s="57">
        <v>622</v>
      </c>
      <c r="B2978" s="162" t="s">
        <v>3655</v>
      </c>
      <c r="C2978" s="195">
        <v>44752.462384259263</v>
      </c>
      <c r="D2978" s="55">
        <v>260</v>
      </c>
      <c r="I2978" s="46" t="s">
        <v>839</v>
      </c>
      <c r="J2978" s="162">
        <v>1</v>
      </c>
      <c r="K2978" s="162">
        <v>1</v>
      </c>
      <c r="L2978" s="162"/>
      <c r="M2978" s="162"/>
      <c r="N2978" s="162"/>
      <c r="O2978" s="162">
        <v>1</v>
      </c>
      <c r="P2978" s="162"/>
      <c r="Q2978" s="162"/>
      <c r="R2978" s="162"/>
      <c r="S2978" s="162">
        <v>1</v>
      </c>
      <c r="T2978" s="162"/>
      <c r="U2978" s="162"/>
      <c r="V2978" s="162"/>
      <c r="W2978" s="162">
        <v>1</v>
      </c>
      <c r="X2978" s="162"/>
      <c r="Y2978" s="162"/>
      <c r="Z2978" s="162"/>
      <c r="AA2978" s="162">
        <v>1</v>
      </c>
      <c r="AB2978" s="162"/>
      <c r="AC2978" s="162"/>
      <c r="AD2978" s="162"/>
      <c r="AE2978" s="162"/>
      <c r="AF2978" s="162"/>
      <c r="AG2978" s="162">
        <v>1</v>
      </c>
      <c r="AH2978" s="162"/>
      <c r="AI2978" s="162"/>
      <c r="AJ2978" s="162"/>
      <c r="AK2978" s="162"/>
      <c r="AL2978" s="162"/>
      <c r="AM2978" s="162">
        <v>4</v>
      </c>
      <c r="AN2978" s="162"/>
      <c r="AO2978" s="162"/>
      <c r="AP2978" s="162"/>
      <c r="AQ2978" s="162"/>
      <c r="AR2978" s="162"/>
      <c r="AS2978" s="162">
        <v>4</v>
      </c>
      <c r="AT2978" s="162">
        <v>1</v>
      </c>
      <c r="AU2978" s="162">
        <v>1</v>
      </c>
      <c r="AV2978" s="162"/>
      <c r="AW2978" s="162"/>
      <c r="AX2978" s="162"/>
      <c r="AY2978" s="162"/>
      <c r="AZ2978" s="162">
        <v>1</v>
      </c>
      <c r="BA2978" s="162">
        <v>1</v>
      </c>
      <c r="BB2978" s="162">
        <v>1</v>
      </c>
      <c r="BC2978" s="162">
        <v>1</v>
      </c>
      <c r="BD2978" s="162">
        <v>1</v>
      </c>
      <c r="BE2978" s="162">
        <v>1</v>
      </c>
      <c r="BF2978" s="162"/>
      <c r="BG2978" s="162"/>
      <c r="BH2978" s="162"/>
      <c r="BI2978" s="162"/>
      <c r="BJ2978" s="162">
        <v>1</v>
      </c>
      <c r="BK2978" s="162"/>
      <c r="BL2978" s="162"/>
      <c r="BM2978" s="162"/>
      <c r="BN2978" s="162"/>
    </row>
    <row r="2979" spans="1:66" x14ac:dyDescent="0.2">
      <c r="A2979" s="57">
        <v>622</v>
      </c>
      <c r="B2979" s="162" t="s">
        <v>3655</v>
      </c>
      <c r="C2979" s="195">
        <v>44746.551041666666</v>
      </c>
      <c r="D2979" s="55">
        <v>260</v>
      </c>
      <c r="I2979" s="46" t="s">
        <v>839</v>
      </c>
      <c r="J2979" s="162">
        <v>1</v>
      </c>
      <c r="K2979" s="162">
        <v>1</v>
      </c>
      <c r="L2979" s="162"/>
      <c r="M2979" s="162"/>
      <c r="N2979" s="162"/>
      <c r="O2979" s="162">
        <v>1</v>
      </c>
      <c r="P2979" s="162"/>
      <c r="Q2979" s="162"/>
      <c r="R2979" s="162"/>
      <c r="S2979" s="162">
        <v>1</v>
      </c>
      <c r="T2979" s="162"/>
      <c r="U2979" s="162"/>
      <c r="V2979" s="162"/>
      <c r="W2979" s="162">
        <v>1</v>
      </c>
      <c r="X2979" s="162"/>
      <c r="Y2979" s="162"/>
      <c r="Z2979" s="162"/>
      <c r="AA2979" s="162">
        <v>1</v>
      </c>
      <c r="AB2979" s="162"/>
      <c r="AC2979" s="162"/>
      <c r="AD2979" s="162"/>
      <c r="AE2979" s="162"/>
      <c r="AF2979" s="162"/>
      <c r="AG2979" s="162">
        <v>1</v>
      </c>
      <c r="AH2979" s="162"/>
      <c r="AI2979" s="162"/>
      <c r="AJ2979" s="162"/>
      <c r="AK2979" s="162"/>
      <c r="AL2979" s="162"/>
      <c r="AM2979" s="162">
        <v>1</v>
      </c>
      <c r="AN2979" s="162">
        <v>4</v>
      </c>
      <c r="AO2979" s="162">
        <v>4</v>
      </c>
      <c r="AP2979" s="162">
        <v>4</v>
      </c>
      <c r="AQ2979" s="162">
        <v>4</v>
      </c>
      <c r="AR2979" s="162">
        <v>4</v>
      </c>
      <c r="AS2979" s="162">
        <v>5</v>
      </c>
      <c r="AT2979" s="162">
        <v>5</v>
      </c>
      <c r="AU2979" s="162">
        <v>5</v>
      </c>
      <c r="AV2979" s="162"/>
      <c r="AW2979" s="162"/>
      <c r="AX2979" s="162"/>
      <c r="AY2979" s="162"/>
      <c r="AZ2979" s="162">
        <v>5</v>
      </c>
      <c r="BA2979" s="162">
        <v>4</v>
      </c>
      <c r="BB2979" s="162">
        <v>4</v>
      </c>
      <c r="BC2979" s="162">
        <v>4</v>
      </c>
      <c r="BD2979" s="162">
        <v>4</v>
      </c>
      <c r="BE2979" s="162">
        <v>5</v>
      </c>
      <c r="BF2979" s="162"/>
      <c r="BG2979" s="162"/>
      <c r="BH2979" s="162"/>
      <c r="BI2979" s="162"/>
      <c r="BJ2979" s="162">
        <v>5</v>
      </c>
      <c r="BK2979" s="162"/>
      <c r="BL2979" s="162"/>
      <c r="BM2979" s="162"/>
      <c r="BN2979" s="162"/>
    </row>
    <row r="2980" spans="1:66" x14ac:dyDescent="0.2">
      <c r="A2980" s="57">
        <v>622</v>
      </c>
      <c r="B2980" s="162" t="s">
        <v>3655</v>
      </c>
      <c r="C2980" s="195">
        <v>44745.867060185185</v>
      </c>
      <c r="D2980" s="55">
        <v>260</v>
      </c>
      <c r="I2980" s="46" t="s">
        <v>839</v>
      </c>
      <c r="J2980" s="162">
        <v>1</v>
      </c>
      <c r="K2980" s="162">
        <v>1</v>
      </c>
      <c r="L2980" s="162"/>
      <c r="M2980" s="162"/>
      <c r="N2980" s="162"/>
      <c r="O2980" s="162">
        <v>1</v>
      </c>
      <c r="P2980" s="162"/>
      <c r="Q2980" s="162"/>
      <c r="R2980" s="162"/>
      <c r="S2980" s="162">
        <v>1</v>
      </c>
      <c r="T2980" s="162"/>
      <c r="U2980" s="162"/>
      <c r="V2980" s="162"/>
      <c r="W2980" s="162">
        <v>1</v>
      </c>
      <c r="X2980" s="162"/>
      <c r="Y2980" s="162"/>
      <c r="Z2980" s="162"/>
      <c r="AA2980" s="162">
        <v>1</v>
      </c>
      <c r="AB2980" s="162"/>
      <c r="AC2980" s="162"/>
      <c r="AD2980" s="162"/>
      <c r="AE2980" s="162"/>
      <c r="AF2980" s="162"/>
      <c r="AG2980" s="162">
        <v>1</v>
      </c>
      <c r="AH2980" s="162"/>
      <c r="AI2980" s="162"/>
      <c r="AJ2980" s="162"/>
      <c r="AK2980" s="162"/>
      <c r="AL2980" s="162"/>
      <c r="AM2980" s="162">
        <v>1</v>
      </c>
      <c r="AN2980" s="162">
        <v>1</v>
      </c>
      <c r="AO2980" s="162">
        <v>1</v>
      </c>
      <c r="AP2980" s="162">
        <v>1</v>
      </c>
      <c r="AQ2980" s="162">
        <v>2</v>
      </c>
      <c r="AR2980" s="162">
        <v>2</v>
      </c>
      <c r="AS2980" s="162">
        <v>4</v>
      </c>
      <c r="AT2980" s="162">
        <v>1</v>
      </c>
      <c r="AU2980" s="162">
        <v>1</v>
      </c>
      <c r="AV2980" s="162"/>
      <c r="AW2980" s="162"/>
      <c r="AX2980" s="162"/>
      <c r="AY2980" s="162"/>
      <c r="AZ2980" s="162">
        <v>1</v>
      </c>
      <c r="BA2980" s="162">
        <v>1</v>
      </c>
      <c r="BB2980" s="162">
        <v>1</v>
      </c>
      <c r="BC2980" s="162">
        <v>1</v>
      </c>
      <c r="BD2980" s="162">
        <v>1</v>
      </c>
      <c r="BE2980" s="162">
        <v>1</v>
      </c>
      <c r="BF2980" s="162"/>
      <c r="BG2980" s="162"/>
      <c r="BH2980" s="162"/>
      <c r="BI2980" s="162"/>
      <c r="BJ2980" s="162">
        <v>1</v>
      </c>
      <c r="BK2980" s="162"/>
      <c r="BL2980" s="162"/>
      <c r="BM2980" s="162"/>
      <c r="BN2980" s="162"/>
    </row>
    <row r="2981" spans="1:66" x14ac:dyDescent="0.2">
      <c r="A2981" s="57">
        <v>622</v>
      </c>
      <c r="B2981" s="162" t="s">
        <v>3655</v>
      </c>
      <c r="C2981" s="195">
        <v>44744.387245370373</v>
      </c>
      <c r="D2981" s="55">
        <v>260</v>
      </c>
      <c r="I2981" s="46" t="s">
        <v>839</v>
      </c>
      <c r="J2981" s="162">
        <v>1</v>
      </c>
      <c r="K2981" s="162">
        <v>1</v>
      </c>
      <c r="L2981" s="162"/>
      <c r="M2981" s="162"/>
      <c r="N2981" s="162"/>
      <c r="O2981" s="162">
        <v>1</v>
      </c>
      <c r="P2981" s="162"/>
      <c r="Q2981" s="162"/>
      <c r="R2981" s="162"/>
      <c r="S2981" s="162">
        <v>1</v>
      </c>
      <c r="T2981" s="162"/>
      <c r="U2981" s="162"/>
      <c r="V2981" s="162"/>
      <c r="W2981" s="162">
        <v>1</v>
      </c>
      <c r="X2981" s="162"/>
      <c r="Y2981" s="162"/>
      <c r="Z2981" s="162"/>
      <c r="AA2981" s="162">
        <v>1</v>
      </c>
      <c r="AB2981" s="162"/>
      <c r="AC2981" s="162"/>
      <c r="AD2981" s="162"/>
      <c r="AE2981" s="162"/>
      <c r="AF2981" s="162"/>
      <c r="AG2981" s="162">
        <v>1</v>
      </c>
      <c r="AH2981" s="162"/>
      <c r="AI2981" s="162"/>
      <c r="AJ2981" s="162"/>
      <c r="AK2981" s="162"/>
      <c r="AL2981" s="162"/>
      <c r="AM2981" s="162">
        <v>2</v>
      </c>
      <c r="AN2981" s="162">
        <v>1</v>
      </c>
      <c r="AO2981" s="162">
        <v>1</v>
      </c>
      <c r="AP2981" s="162">
        <v>1</v>
      </c>
      <c r="AQ2981" s="162">
        <v>3</v>
      </c>
      <c r="AR2981" s="162">
        <v>3</v>
      </c>
      <c r="AS2981" s="162">
        <v>3</v>
      </c>
      <c r="AT2981" s="162">
        <v>1</v>
      </c>
      <c r="AU2981" s="162">
        <v>1</v>
      </c>
      <c r="AV2981" s="162"/>
      <c r="AW2981" s="162"/>
      <c r="AX2981" s="162"/>
      <c r="AY2981" s="162"/>
      <c r="AZ2981" s="162">
        <v>1</v>
      </c>
      <c r="BA2981" s="162">
        <v>1</v>
      </c>
      <c r="BB2981" s="162">
        <v>1</v>
      </c>
      <c r="BC2981" s="162">
        <v>1</v>
      </c>
      <c r="BD2981" s="162">
        <v>1</v>
      </c>
      <c r="BE2981" s="162">
        <v>1</v>
      </c>
      <c r="BF2981" s="162"/>
      <c r="BG2981" s="162"/>
      <c r="BH2981" s="162"/>
      <c r="BI2981" s="162"/>
      <c r="BJ2981" s="162">
        <v>1</v>
      </c>
      <c r="BK2981" s="162"/>
      <c r="BL2981" s="162"/>
      <c r="BM2981" s="162"/>
      <c r="BN2981" s="162"/>
    </row>
    <row r="2982" spans="1:66" x14ac:dyDescent="0.2">
      <c r="A2982" s="57">
        <v>622</v>
      </c>
      <c r="B2982" s="162" t="s">
        <v>3655</v>
      </c>
      <c r="C2982" s="195">
        <v>44743.68545138889</v>
      </c>
      <c r="D2982" s="55">
        <v>260</v>
      </c>
      <c r="I2982" s="46" t="s">
        <v>839</v>
      </c>
      <c r="J2982" s="162">
        <v>2</v>
      </c>
      <c r="K2982" s="162">
        <v>1</v>
      </c>
      <c r="L2982" s="162"/>
      <c r="M2982" s="162"/>
      <c r="N2982" s="162"/>
      <c r="O2982" s="162">
        <v>3</v>
      </c>
      <c r="P2982" s="162">
        <v>1</v>
      </c>
      <c r="Q2982" s="162">
        <v>1</v>
      </c>
      <c r="R2982" s="162">
        <v>2</v>
      </c>
      <c r="S2982" s="162">
        <v>1</v>
      </c>
      <c r="T2982" s="162"/>
      <c r="U2982" s="162"/>
      <c r="V2982" s="162"/>
      <c r="W2982" s="162">
        <v>1</v>
      </c>
      <c r="X2982" s="162"/>
      <c r="Y2982" s="162"/>
      <c r="Z2982" s="162"/>
      <c r="AA2982" s="162">
        <v>2</v>
      </c>
      <c r="AB2982" s="162"/>
      <c r="AC2982" s="162"/>
      <c r="AD2982" s="162"/>
      <c r="AE2982" s="162"/>
      <c r="AF2982" s="162"/>
      <c r="AG2982" s="162">
        <v>1</v>
      </c>
      <c r="AH2982" s="162"/>
      <c r="AI2982" s="162"/>
      <c r="AJ2982" s="162"/>
      <c r="AK2982" s="162"/>
      <c r="AL2982" s="162"/>
      <c r="AM2982" s="162">
        <v>4</v>
      </c>
      <c r="AN2982" s="162"/>
      <c r="AO2982" s="162"/>
      <c r="AP2982" s="162"/>
      <c r="AQ2982" s="162"/>
      <c r="AR2982" s="162"/>
      <c r="AS2982" s="162">
        <v>4</v>
      </c>
      <c r="AT2982" s="162">
        <v>2</v>
      </c>
      <c r="AU2982" s="162">
        <v>2</v>
      </c>
      <c r="AV2982" s="162"/>
      <c r="AW2982" s="162"/>
      <c r="AX2982" s="162"/>
      <c r="AY2982" s="162"/>
      <c r="AZ2982" s="162">
        <v>1</v>
      </c>
      <c r="BA2982" s="162">
        <v>1</v>
      </c>
      <c r="BB2982" s="162">
        <v>1</v>
      </c>
      <c r="BC2982" s="162">
        <v>1</v>
      </c>
      <c r="BD2982" s="162">
        <v>1</v>
      </c>
      <c r="BE2982" s="162">
        <v>2</v>
      </c>
      <c r="BF2982" s="162"/>
      <c r="BG2982" s="162"/>
      <c r="BH2982" s="162"/>
      <c r="BI2982" s="162"/>
      <c r="BJ2982" s="162">
        <v>3</v>
      </c>
      <c r="BK2982" s="162">
        <v>1</v>
      </c>
      <c r="BL2982" s="162">
        <v>1</v>
      </c>
      <c r="BM2982" s="162">
        <v>1</v>
      </c>
      <c r="BN2982" s="162">
        <v>3</v>
      </c>
    </row>
    <row r="2983" spans="1:66" x14ac:dyDescent="0.2">
      <c r="A2983" s="57">
        <v>622</v>
      </c>
      <c r="B2983" s="162" t="s">
        <v>3655</v>
      </c>
      <c r="C2983" s="195">
        <v>44743.649409722224</v>
      </c>
      <c r="D2983" s="55">
        <v>260</v>
      </c>
      <c r="I2983" s="46" t="s">
        <v>839</v>
      </c>
      <c r="J2983" s="162">
        <v>1</v>
      </c>
      <c r="K2983" s="162">
        <v>1</v>
      </c>
      <c r="L2983" s="162"/>
      <c r="M2983" s="162"/>
      <c r="N2983" s="162"/>
      <c r="O2983" s="162">
        <v>1</v>
      </c>
      <c r="P2983" s="162"/>
      <c r="Q2983" s="162"/>
      <c r="R2983" s="162"/>
      <c r="S2983" s="162">
        <v>1</v>
      </c>
      <c r="T2983" s="162"/>
      <c r="U2983" s="162"/>
      <c r="V2983" s="162"/>
      <c r="W2983" s="162">
        <v>1</v>
      </c>
      <c r="X2983" s="162"/>
      <c r="Y2983" s="162"/>
      <c r="Z2983" s="162"/>
      <c r="AA2983" s="162">
        <v>1</v>
      </c>
      <c r="AB2983" s="162"/>
      <c r="AC2983" s="162"/>
      <c r="AD2983" s="162"/>
      <c r="AE2983" s="162"/>
      <c r="AF2983" s="162"/>
      <c r="AG2983" s="162">
        <v>5</v>
      </c>
      <c r="AH2983" s="162"/>
      <c r="AI2983" s="162"/>
      <c r="AJ2983" s="162"/>
      <c r="AK2983" s="162"/>
      <c r="AL2983" s="162"/>
      <c r="AM2983" s="162">
        <v>5</v>
      </c>
      <c r="AN2983" s="162"/>
      <c r="AO2983" s="162"/>
      <c r="AP2983" s="162"/>
      <c r="AQ2983" s="162"/>
      <c r="AR2983" s="162"/>
      <c r="AS2983" s="162">
        <v>5</v>
      </c>
      <c r="AT2983" s="162">
        <v>5</v>
      </c>
      <c r="AU2983" s="162">
        <v>5</v>
      </c>
      <c r="AV2983" s="162"/>
      <c r="AW2983" s="162"/>
      <c r="AX2983" s="162"/>
      <c r="AY2983" s="162"/>
      <c r="AZ2983" s="162">
        <v>5</v>
      </c>
      <c r="BA2983" s="162">
        <v>4</v>
      </c>
      <c r="BB2983" s="162">
        <v>4</v>
      </c>
      <c r="BC2983" s="162">
        <v>4</v>
      </c>
      <c r="BD2983" s="162">
        <v>4</v>
      </c>
      <c r="BE2983" s="162">
        <v>5</v>
      </c>
      <c r="BF2983" s="162"/>
      <c r="BG2983" s="162"/>
      <c r="BH2983" s="162"/>
      <c r="BI2983" s="162"/>
      <c r="BJ2983" s="162">
        <v>5</v>
      </c>
      <c r="BK2983" s="162"/>
      <c r="BL2983" s="162"/>
      <c r="BM2983" s="162"/>
      <c r="BN2983" s="162"/>
    </row>
    <row r="2984" spans="1:66" x14ac:dyDescent="0.2">
      <c r="A2984" s="57">
        <v>622</v>
      </c>
      <c r="B2984" s="162" t="s">
        <v>3655</v>
      </c>
      <c r="C2984" s="195">
        <v>44743.553055555552</v>
      </c>
      <c r="D2984" s="55">
        <v>260</v>
      </c>
      <c r="I2984" s="46" t="s">
        <v>839</v>
      </c>
      <c r="J2984" s="162">
        <v>1</v>
      </c>
      <c r="K2984" s="162">
        <v>1</v>
      </c>
      <c r="L2984" s="162"/>
      <c r="M2984" s="162"/>
      <c r="N2984" s="162"/>
      <c r="O2984" s="162">
        <v>1</v>
      </c>
      <c r="P2984" s="162"/>
      <c r="Q2984" s="162"/>
      <c r="R2984" s="162"/>
      <c r="S2984" s="162">
        <v>1</v>
      </c>
      <c r="T2984" s="162"/>
      <c r="U2984" s="162"/>
      <c r="V2984" s="162"/>
      <c r="W2984" s="162">
        <v>1</v>
      </c>
      <c r="X2984" s="162"/>
      <c r="Y2984" s="162"/>
      <c r="Z2984" s="162"/>
      <c r="AA2984" s="162">
        <v>1</v>
      </c>
      <c r="AB2984" s="162"/>
      <c r="AC2984" s="162"/>
      <c r="AD2984" s="162"/>
      <c r="AE2984" s="162"/>
      <c r="AF2984" s="162"/>
      <c r="AG2984" s="162">
        <v>1</v>
      </c>
      <c r="AH2984" s="162"/>
      <c r="AI2984" s="162"/>
      <c r="AJ2984" s="162"/>
      <c r="AK2984" s="162"/>
      <c r="AL2984" s="162"/>
      <c r="AM2984" s="162">
        <v>1</v>
      </c>
      <c r="AN2984" s="162">
        <v>1</v>
      </c>
      <c r="AO2984" s="162">
        <v>1</v>
      </c>
      <c r="AP2984" s="162">
        <v>1</v>
      </c>
      <c r="AQ2984" s="162">
        <v>2</v>
      </c>
      <c r="AR2984" s="162">
        <v>2</v>
      </c>
      <c r="AS2984" s="162">
        <v>4</v>
      </c>
      <c r="AT2984" s="162">
        <v>1</v>
      </c>
      <c r="AU2984" s="162">
        <v>1</v>
      </c>
      <c r="AV2984" s="162"/>
      <c r="AW2984" s="162"/>
      <c r="AX2984" s="162"/>
      <c r="AY2984" s="162"/>
      <c r="AZ2984" s="162">
        <v>1</v>
      </c>
      <c r="BA2984" s="162">
        <v>1</v>
      </c>
      <c r="BB2984" s="162">
        <v>1</v>
      </c>
      <c r="BC2984" s="162">
        <v>1</v>
      </c>
      <c r="BD2984" s="162">
        <v>1</v>
      </c>
      <c r="BE2984" s="162">
        <v>2</v>
      </c>
      <c r="BF2984" s="162"/>
      <c r="BG2984" s="162"/>
      <c r="BH2984" s="162"/>
      <c r="BI2984" s="162"/>
      <c r="BJ2984" s="162">
        <v>1</v>
      </c>
      <c r="BK2984" s="162"/>
      <c r="BL2984" s="162"/>
      <c r="BM2984" s="162"/>
      <c r="BN2984" s="162"/>
    </row>
    <row r="2985" spans="1:66" x14ac:dyDescent="0.2">
      <c r="A2985" s="57">
        <v>622</v>
      </c>
      <c r="B2985" s="162" t="s">
        <v>3655</v>
      </c>
      <c r="C2985" s="195">
        <v>44743.550034722219</v>
      </c>
      <c r="D2985" s="55">
        <v>260</v>
      </c>
      <c r="I2985" s="46" t="s">
        <v>839</v>
      </c>
      <c r="J2985" s="162">
        <v>1</v>
      </c>
      <c r="K2985" s="162">
        <v>1</v>
      </c>
      <c r="L2985" s="162"/>
      <c r="M2985" s="162"/>
      <c r="N2985" s="162"/>
      <c r="O2985" s="162">
        <v>1</v>
      </c>
      <c r="P2985" s="162"/>
      <c r="Q2985" s="162"/>
      <c r="R2985" s="162"/>
      <c r="S2985" s="162">
        <v>1</v>
      </c>
      <c r="T2985" s="162"/>
      <c r="U2985" s="162"/>
      <c r="V2985" s="162"/>
      <c r="W2985" s="162">
        <v>1</v>
      </c>
      <c r="X2985" s="162"/>
      <c r="Y2985" s="162"/>
      <c r="Z2985" s="162"/>
      <c r="AA2985" s="162">
        <v>1</v>
      </c>
      <c r="AB2985" s="162"/>
      <c r="AC2985" s="162"/>
      <c r="AD2985" s="162"/>
      <c r="AE2985" s="162"/>
      <c r="AF2985" s="162"/>
      <c r="AG2985" s="162">
        <v>1</v>
      </c>
      <c r="AH2985" s="162"/>
      <c r="AI2985" s="162"/>
      <c r="AJ2985" s="162"/>
      <c r="AK2985" s="162"/>
      <c r="AL2985" s="162"/>
      <c r="AM2985" s="162">
        <v>2</v>
      </c>
      <c r="AN2985" s="162">
        <v>3</v>
      </c>
      <c r="AO2985" s="162">
        <v>3</v>
      </c>
      <c r="AP2985" s="162">
        <v>1</v>
      </c>
      <c r="AQ2985" s="162">
        <v>3</v>
      </c>
      <c r="AR2985" s="162">
        <v>3</v>
      </c>
      <c r="AS2985" s="162">
        <v>1</v>
      </c>
      <c r="AT2985" s="162">
        <v>1</v>
      </c>
      <c r="AU2985" s="162">
        <v>1</v>
      </c>
      <c r="AV2985" s="162"/>
      <c r="AW2985" s="162"/>
      <c r="AX2985" s="162"/>
      <c r="AY2985" s="162"/>
      <c r="AZ2985" s="162">
        <v>1</v>
      </c>
      <c r="BA2985" s="162">
        <v>1</v>
      </c>
      <c r="BB2985" s="162">
        <v>1</v>
      </c>
      <c r="BC2985" s="162">
        <v>1</v>
      </c>
      <c r="BD2985" s="162">
        <v>1</v>
      </c>
      <c r="BE2985" s="162">
        <v>1</v>
      </c>
      <c r="BF2985" s="162"/>
      <c r="BG2985" s="162"/>
      <c r="BH2985" s="162"/>
      <c r="BI2985" s="162"/>
      <c r="BJ2985" s="162">
        <v>1</v>
      </c>
      <c r="BK2985" s="162"/>
      <c r="BL2985" s="162"/>
      <c r="BM2985" s="162"/>
      <c r="BN2985" s="162"/>
    </row>
    <row r="2986" spans="1:66" x14ac:dyDescent="0.2">
      <c r="A2986" s="57">
        <v>622</v>
      </c>
      <c r="B2986" s="162" t="s">
        <v>3655</v>
      </c>
      <c r="C2986" s="195">
        <v>44743.542812500003</v>
      </c>
      <c r="D2986" s="55">
        <v>260</v>
      </c>
      <c r="I2986" s="46" t="s">
        <v>839</v>
      </c>
      <c r="J2986" s="162">
        <v>2</v>
      </c>
      <c r="K2986" s="162">
        <v>2</v>
      </c>
      <c r="L2986" s="162"/>
      <c r="M2986" s="162"/>
      <c r="N2986" s="162"/>
      <c r="O2986" s="162">
        <v>2</v>
      </c>
      <c r="P2986" s="162"/>
      <c r="Q2986" s="162"/>
      <c r="R2986" s="162"/>
      <c r="S2986" s="162">
        <v>2</v>
      </c>
      <c r="T2986" s="162"/>
      <c r="U2986" s="162"/>
      <c r="V2986" s="162"/>
      <c r="W2986" s="162">
        <v>2</v>
      </c>
      <c r="X2986" s="162"/>
      <c r="Y2986" s="162"/>
      <c r="Z2986" s="162"/>
      <c r="AA2986" s="162">
        <v>2</v>
      </c>
      <c r="AB2986" s="162"/>
      <c r="AC2986" s="162"/>
      <c r="AD2986" s="162"/>
      <c r="AE2986" s="162"/>
      <c r="AF2986" s="162"/>
      <c r="AG2986" s="162">
        <v>2</v>
      </c>
      <c r="AH2986" s="162"/>
      <c r="AI2986" s="162"/>
      <c r="AJ2986" s="162"/>
      <c r="AK2986" s="162"/>
      <c r="AL2986" s="162"/>
      <c r="AM2986" s="162">
        <v>2</v>
      </c>
      <c r="AN2986" s="162">
        <v>3</v>
      </c>
      <c r="AO2986" s="162">
        <v>3</v>
      </c>
      <c r="AP2986" s="162">
        <v>1</v>
      </c>
      <c r="AQ2986" s="162">
        <v>3</v>
      </c>
      <c r="AR2986" s="162">
        <v>3</v>
      </c>
      <c r="AS2986" s="162">
        <v>2</v>
      </c>
      <c r="AT2986" s="162">
        <v>2</v>
      </c>
      <c r="AU2986" s="162">
        <v>2</v>
      </c>
      <c r="AV2986" s="162"/>
      <c r="AW2986" s="162"/>
      <c r="AX2986" s="162"/>
      <c r="AY2986" s="162"/>
      <c r="AZ2986" s="162">
        <v>2</v>
      </c>
      <c r="BA2986" s="162">
        <v>1</v>
      </c>
      <c r="BB2986" s="162">
        <v>1</v>
      </c>
      <c r="BC2986" s="162">
        <v>1</v>
      </c>
      <c r="BD2986" s="162">
        <v>1</v>
      </c>
      <c r="BE2986" s="162">
        <v>2</v>
      </c>
      <c r="BF2986" s="162"/>
      <c r="BG2986" s="162"/>
      <c r="BH2986" s="162"/>
      <c r="BI2986" s="162"/>
      <c r="BJ2986" s="162">
        <v>2</v>
      </c>
      <c r="BK2986" s="162"/>
      <c r="BL2986" s="162"/>
      <c r="BM2986" s="162"/>
      <c r="BN2986" s="162"/>
    </row>
    <row r="2987" spans="1:66" x14ac:dyDescent="0.2">
      <c r="A2987" s="57">
        <v>622</v>
      </c>
      <c r="B2987" s="162" t="s">
        <v>3655</v>
      </c>
      <c r="C2987" s="195">
        <v>44743.483460648145</v>
      </c>
      <c r="D2987" s="55">
        <v>260</v>
      </c>
      <c r="I2987" s="46" t="s">
        <v>839</v>
      </c>
      <c r="J2987" s="162">
        <v>1</v>
      </c>
      <c r="K2987" s="162">
        <v>1</v>
      </c>
      <c r="L2987" s="162"/>
      <c r="M2987" s="162"/>
      <c r="N2987" s="162"/>
      <c r="O2987" s="162">
        <v>1</v>
      </c>
      <c r="P2987" s="162"/>
      <c r="Q2987" s="162"/>
      <c r="R2987" s="162"/>
      <c r="S2987" s="162">
        <v>1</v>
      </c>
      <c r="T2987" s="162"/>
      <c r="U2987" s="162"/>
      <c r="V2987" s="162"/>
      <c r="W2987" s="162">
        <v>1</v>
      </c>
      <c r="X2987" s="162"/>
      <c r="Y2987" s="162"/>
      <c r="Z2987" s="162"/>
      <c r="AA2987" s="162">
        <v>1</v>
      </c>
      <c r="AB2987" s="162"/>
      <c r="AC2987" s="162"/>
      <c r="AD2987" s="162"/>
      <c r="AE2987" s="162"/>
      <c r="AF2987" s="162"/>
      <c r="AG2987" s="162">
        <v>2</v>
      </c>
      <c r="AH2987" s="162"/>
      <c r="AI2987" s="162"/>
      <c r="AJ2987" s="162"/>
      <c r="AK2987" s="162"/>
      <c r="AL2987" s="162"/>
      <c r="AM2987" s="162">
        <v>2</v>
      </c>
      <c r="AN2987" s="162">
        <v>1</v>
      </c>
      <c r="AO2987" s="162">
        <v>1</v>
      </c>
      <c r="AP2987" s="162">
        <v>1</v>
      </c>
      <c r="AQ2987" s="162">
        <v>1</v>
      </c>
      <c r="AR2987" s="162">
        <v>3</v>
      </c>
      <c r="AS2987" s="162">
        <v>2</v>
      </c>
      <c r="AT2987" s="162">
        <v>1</v>
      </c>
      <c r="AU2987" s="162">
        <v>1</v>
      </c>
      <c r="AV2987" s="162"/>
      <c r="AW2987" s="162"/>
      <c r="AX2987" s="162"/>
      <c r="AY2987" s="162"/>
      <c r="AZ2987" s="162">
        <v>1</v>
      </c>
      <c r="BA2987" s="162">
        <v>1</v>
      </c>
      <c r="BB2987" s="162">
        <v>1</v>
      </c>
      <c r="BC2987" s="162">
        <v>1</v>
      </c>
      <c r="BD2987" s="162">
        <v>1</v>
      </c>
      <c r="BE2987" s="162">
        <v>1</v>
      </c>
      <c r="BF2987" s="162"/>
      <c r="BG2987" s="162"/>
      <c r="BH2987" s="162"/>
      <c r="BI2987" s="162"/>
      <c r="BJ2987" s="162">
        <v>2</v>
      </c>
      <c r="BK2987" s="162"/>
      <c r="BL2987" s="162"/>
      <c r="BM2987" s="162"/>
      <c r="BN2987" s="162"/>
    </row>
    <row r="2988" spans="1:66" x14ac:dyDescent="0.2">
      <c r="A2988" s="57">
        <v>622</v>
      </c>
      <c r="B2988" s="162" t="s">
        <v>3655</v>
      </c>
      <c r="C2988" s="195">
        <v>44743.455034722225</v>
      </c>
      <c r="D2988" s="55">
        <v>260</v>
      </c>
      <c r="I2988" s="46" t="s">
        <v>839</v>
      </c>
      <c r="J2988" s="162">
        <v>1</v>
      </c>
      <c r="K2988" s="162">
        <v>1</v>
      </c>
      <c r="L2988" s="162"/>
      <c r="M2988" s="162"/>
      <c r="N2988" s="162"/>
      <c r="O2988" s="162">
        <v>1</v>
      </c>
      <c r="P2988" s="162"/>
      <c r="Q2988" s="162"/>
      <c r="R2988" s="162"/>
      <c r="S2988" s="162">
        <v>1</v>
      </c>
      <c r="T2988" s="162"/>
      <c r="U2988" s="162"/>
      <c r="V2988" s="162"/>
      <c r="W2988" s="162">
        <v>1</v>
      </c>
      <c r="X2988" s="162"/>
      <c r="Y2988" s="162"/>
      <c r="Z2988" s="162"/>
      <c r="AA2988" s="162">
        <v>1</v>
      </c>
      <c r="AB2988" s="162"/>
      <c r="AC2988" s="162"/>
      <c r="AD2988" s="162"/>
      <c r="AE2988" s="162"/>
      <c r="AF2988" s="162"/>
      <c r="AG2988" s="162">
        <v>1</v>
      </c>
      <c r="AH2988" s="162"/>
      <c r="AI2988" s="162"/>
      <c r="AJ2988" s="162"/>
      <c r="AK2988" s="162"/>
      <c r="AL2988" s="162"/>
      <c r="AM2988" s="162">
        <v>4</v>
      </c>
      <c r="AN2988" s="162"/>
      <c r="AO2988" s="162"/>
      <c r="AP2988" s="162"/>
      <c r="AQ2988" s="162"/>
      <c r="AR2988" s="162"/>
      <c r="AS2988" s="162">
        <v>4</v>
      </c>
      <c r="AT2988" s="162">
        <v>1</v>
      </c>
      <c r="AU2988" s="162">
        <v>2</v>
      </c>
      <c r="AV2988" s="162"/>
      <c r="AW2988" s="162"/>
      <c r="AX2988" s="162"/>
      <c r="AY2988" s="162"/>
      <c r="AZ2988" s="162">
        <v>1</v>
      </c>
      <c r="BA2988" s="162">
        <v>1</v>
      </c>
      <c r="BB2988" s="162">
        <v>1</v>
      </c>
      <c r="BC2988" s="162">
        <v>1</v>
      </c>
      <c r="BD2988" s="162">
        <v>1</v>
      </c>
      <c r="BE2988" s="162">
        <v>1</v>
      </c>
      <c r="BF2988" s="162"/>
      <c r="BG2988" s="162"/>
      <c r="BH2988" s="162"/>
      <c r="BI2988" s="162"/>
      <c r="BJ2988" s="162">
        <v>1</v>
      </c>
      <c r="BK2988" s="162"/>
      <c r="BL2988" s="162"/>
      <c r="BM2988" s="162"/>
      <c r="BN2988" s="162"/>
    </row>
    <row r="2989" spans="1:66" x14ac:dyDescent="0.2">
      <c r="A2989" s="57">
        <v>622</v>
      </c>
      <c r="B2989" s="162" t="s">
        <v>3655</v>
      </c>
      <c r="C2989" s="195">
        <v>44743.452476851853</v>
      </c>
      <c r="D2989" s="55">
        <v>260</v>
      </c>
      <c r="I2989" s="46" t="s">
        <v>839</v>
      </c>
      <c r="J2989" s="162">
        <v>1</v>
      </c>
      <c r="K2989" s="162">
        <v>1</v>
      </c>
      <c r="L2989" s="162"/>
      <c r="M2989" s="162"/>
      <c r="N2989" s="162"/>
      <c r="O2989" s="162">
        <v>1</v>
      </c>
      <c r="P2989" s="162"/>
      <c r="Q2989" s="162"/>
      <c r="R2989" s="162"/>
      <c r="S2989" s="162">
        <v>1</v>
      </c>
      <c r="T2989" s="162"/>
      <c r="U2989" s="162"/>
      <c r="V2989" s="162"/>
      <c r="W2989" s="162">
        <v>5</v>
      </c>
      <c r="X2989" s="162"/>
      <c r="Y2989" s="162"/>
      <c r="Z2989" s="162"/>
      <c r="AA2989" s="162">
        <v>5</v>
      </c>
      <c r="AB2989" s="162"/>
      <c r="AC2989" s="162"/>
      <c r="AD2989" s="162"/>
      <c r="AE2989" s="162"/>
      <c r="AF2989" s="162"/>
      <c r="AG2989" s="162">
        <v>5</v>
      </c>
      <c r="AH2989" s="162"/>
      <c r="AI2989" s="162"/>
      <c r="AJ2989" s="162"/>
      <c r="AK2989" s="162"/>
      <c r="AL2989" s="162"/>
      <c r="AM2989" s="162">
        <v>5</v>
      </c>
      <c r="AN2989" s="162"/>
      <c r="AO2989" s="162"/>
      <c r="AP2989" s="162"/>
      <c r="AQ2989" s="162"/>
      <c r="AR2989" s="162"/>
      <c r="AS2989" s="162">
        <v>5</v>
      </c>
      <c r="AT2989" s="162">
        <v>5</v>
      </c>
      <c r="AU2989" s="162">
        <v>5</v>
      </c>
      <c r="AV2989" s="162"/>
      <c r="AW2989" s="162"/>
      <c r="AX2989" s="162"/>
      <c r="AY2989" s="162"/>
      <c r="AZ2989" s="162">
        <v>5</v>
      </c>
      <c r="BA2989" s="162">
        <v>4</v>
      </c>
      <c r="BB2989" s="162">
        <v>4</v>
      </c>
      <c r="BC2989" s="162">
        <v>4</v>
      </c>
      <c r="BD2989" s="162">
        <v>4</v>
      </c>
      <c r="BE2989" s="162">
        <v>5</v>
      </c>
      <c r="BF2989" s="162"/>
      <c r="BG2989" s="162"/>
      <c r="BH2989" s="162"/>
      <c r="BI2989" s="162"/>
      <c r="BJ2989" s="162">
        <v>5</v>
      </c>
      <c r="BK2989" s="162"/>
      <c r="BL2989" s="162"/>
      <c r="BM2989" s="162"/>
      <c r="BN2989" s="162"/>
    </row>
    <row r="2990" spans="1:66" x14ac:dyDescent="0.2">
      <c r="A2990" s="57">
        <v>622</v>
      </c>
      <c r="B2990" s="162" t="s">
        <v>3655</v>
      </c>
      <c r="C2990" s="195">
        <v>44743.440949074073</v>
      </c>
      <c r="D2990" s="55">
        <v>260</v>
      </c>
      <c r="I2990" s="46" t="s">
        <v>839</v>
      </c>
      <c r="J2990" s="162">
        <v>1</v>
      </c>
      <c r="K2990" s="162">
        <v>1</v>
      </c>
      <c r="L2990" s="162"/>
      <c r="M2990" s="162"/>
      <c r="N2990" s="162"/>
      <c r="O2990" s="162">
        <v>1</v>
      </c>
      <c r="P2990" s="162"/>
      <c r="Q2990" s="162"/>
      <c r="R2990" s="162"/>
      <c r="S2990" s="162">
        <v>1</v>
      </c>
      <c r="T2990" s="162"/>
      <c r="U2990" s="162"/>
      <c r="V2990" s="162"/>
      <c r="W2990" s="162">
        <v>1</v>
      </c>
      <c r="X2990" s="162"/>
      <c r="Y2990" s="162"/>
      <c r="Z2990" s="162"/>
      <c r="AA2990" s="162">
        <v>1</v>
      </c>
      <c r="AB2990" s="162"/>
      <c r="AC2990" s="162"/>
      <c r="AD2990" s="162"/>
      <c r="AE2990" s="162"/>
      <c r="AF2990" s="162"/>
      <c r="AG2990" s="162">
        <v>1</v>
      </c>
      <c r="AH2990" s="162"/>
      <c r="AI2990" s="162"/>
      <c r="AJ2990" s="162"/>
      <c r="AK2990" s="162"/>
      <c r="AL2990" s="162"/>
      <c r="AM2990" s="162">
        <v>4</v>
      </c>
      <c r="AN2990" s="162"/>
      <c r="AO2990" s="162"/>
      <c r="AP2990" s="162"/>
      <c r="AQ2990" s="162"/>
      <c r="AR2990" s="162"/>
      <c r="AS2990" s="162">
        <v>4</v>
      </c>
      <c r="AT2990" s="162">
        <v>1</v>
      </c>
      <c r="AU2990" s="162">
        <v>1</v>
      </c>
      <c r="AV2990" s="162"/>
      <c r="AW2990" s="162"/>
      <c r="AX2990" s="162"/>
      <c r="AY2990" s="162"/>
      <c r="AZ2990" s="162">
        <v>1</v>
      </c>
      <c r="BA2990" s="162">
        <v>1</v>
      </c>
      <c r="BB2990" s="162">
        <v>1</v>
      </c>
      <c r="BC2990" s="162">
        <v>1</v>
      </c>
      <c r="BD2990" s="162">
        <v>1</v>
      </c>
      <c r="BE2990" s="162">
        <v>1</v>
      </c>
      <c r="BF2990" s="162"/>
      <c r="BG2990" s="162"/>
      <c r="BH2990" s="162"/>
      <c r="BI2990" s="162"/>
      <c r="BJ2990" s="162">
        <v>1</v>
      </c>
      <c r="BK2990" s="162"/>
      <c r="BL2990" s="162"/>
      <c r="BM2990" s="162"/>
      <c r="BN2990" s="162"/>
    </row>
    <row r="2991" spans="1:66" x14ac:dyDescent="0.2">
      <c r="A2991" s="57">
        <v>622</v>
      </c>
      <c r="B2991" s="162" t="s">
        <v>3655</v>
      </c>
      <c r="C2991" s="195">
        <v>44743.422384259262</v>
      </c>
      <c r="D2991" s="55">
        <v>260</v>
      </c>
      <c r="I2991" s="46" t="s">
        <v>839</v>
      </c>
      <c r="J2991" s="162">
        <v>1</v>
      </c>
      <c r="K2991" s="162">
        <v>1</v>
      </c>
      <c r="L2991" s="162"/>
      <c r="M2991" s="162"/>
      <c r="N2991" s="162"/>
      <c r="O2991" s="162">
        <v>1</v>
      </c>
      <c r="P2991" s="162"/>
      <c r="Q2991" s="162"/>
      <c r="R2991" s="162"/>
      <c r="S2991" s="162">
        <v>1</v>
      </c>
      <c r="T2991" s="162"/>
      <c r="U2991" s="162"/>
      <c r="V2991" s="162"/>
      <c r="W2991" s="162">
        <v>1</v>
      </c>
      <c r="X2991" s="162"/>
      <c r="Y2991" s="162"/>
      <c r="Z2991" s="162"/>
      <c r="AA2991" s="162">
        <v>3</v>
      </c>
      <c r="AB2991" s="162">
        <v>1</v>
      </c>
      <c r="AC2991" s="162">
        <v>1</v>
      </c>
      <c r="AD2991" s="162">
        <v>1</v>
      </c>
      <c r="AE2991" s="162">
        <v>2</v>
      </c>
      <c r="AF2991" s="162">
        <v>2</v>
      </c>
      <c r="AG2991" s="162">
        <v>3</v>
      </c>
      <c r="AH2991" s="162">
        <v>2</v>
      </c>
      <c r="AI2991" s="162">
        <v>2</v>
      </c>
      <c r="AJ2991" s="162">
        <v>2</v>
      </c>
      <c r="AK2991" s="162">
        <v>2</v>
      </c>
      <c r="AL2991" s="162">
        <v>2</v>
      </c>
      <c r="AM2991" s="162">
        <v>1</v>
      </c>
      <c r="AN2991" s="162">
        <v>2</v>
      </c>
      <c r="AO2991" s="162">
        <v>2</v>
      </c>
      <c r="AP2991" s="162">
        <v>1</v>
      </c>
      <c r="AQ2991" s="162">
        <v>1</v>
      </c>
      <c r="AR2991" s="162">
        <v>2</v>
      </c>
      <c r="AS2991" s="162">
        <v>4</v>
      </c>
      <c r="AT2991" s="162">
        <v>2</v>
      </c>
      <c r="AU2991" s="162">
        <v>3</v>
      </c>
      <c r="AV2991" s="162">
        <v>2</v>
      </c>
      <c r="AW2991" s="162">
        <v>2</v>
      </c>
      <c r="AX2991" s="162">
        <v>1</v>
      </c>
      <c r="AY2991" s="162">
        <v>2</v>
      </c>
      <c r="AZ2991" s="162">
        <v>3</v>
      </c>
      <c r="BA2991" s="162">
        <v>2</v>
      </c>
      <c r="BB2991" s="162">
        <v>2</v>
      </c>
      <c r="BC2991" s="162">
        <v>1</v>
      </c>
      <c r="BD2991" s="162">
        <v>1</v>
      </c>
      <c r="BE2991" s="162">
        <v>3</v>
      </c>
      <c r="BF2991" s="162">
        <v>2</v>
      </c>
      <c r="BG2991" s="162">
        <v>2</v>
      </c>
      <c r="BH2991" s="162">
        <v>2</v>
      </c>
      <c r="BI2991" s="162">
        <v>2</v>
      </c>
      <c r="BJ2991" s="162">
        <v>3</v>
      </c>
      <c r="BK2991" s="162">
        <v>1</v>
      </c>
      <c r="BL2991" s="162">
        <v>1</v>
      </c>
      <c r="BM2991" s="162">
        <v>1</v>
      </c>
      <c r="BN2991" s="162">
        <v>2</v>
      </c>
    </row>
    <row r="2992" spans="1:66" x14ac:dyDescent="0.2">
      <c r="A2992" s="57">
        <v>622</v>
      </c>
      <c r="B2992" s="162" t="s">
        <v>3655</v>
      </c>
      <c r="C2992" s="195">
        <v>44743.402106481481</v>
      </c>
      <c r="D2992" s="55">
        <v>260</v>
      </c>
      <c r="I2992" s="46" t="s">
        <v>839</v>
      </c>
      <c r="J2992" s="162">
        <v>2</v>
      </c>
      <c r="K2992" s="162">
        <v>2</v>
      </c>
      <c r="L2992" s="162"/>
      <c r="M2992" s="162"/>
      <c r="N2992" s="162"/>
      <c r="O2992" s="162">
        <v>2</v>
      </c>
      <c r="P2992" s="162"/>
      <c r="Q2992" s="162"/>
      <c r="R2992" s="162"/>
      <c r="S2992" s="162">
        <v>2</v>
      </c>
      <c r="T2992" s="162"/>
      <c r="U2992" s="162"/>
      <c r="V2992" s="162"/>
      <c r="W2992" s="162">
        <v>2</v>
      </c>
      <c r="X2992" s="162"/>
      <c r="Y2992" s="162"/>
      <c r="Z2992" s="162"/>
      <c r="AA2992" s="162">
        <v>2</v>
      </c>
      <c r="AB2992" s="162"/>
      <c r="AC2992" s="162"/>
      <c r="AD2992" s="162"/>
      <c r="AE2992" s="162"/>
      <c r="AF2992" s="162"/>
      <c r="AG2992" s="162">
        <v>2</v>
      </c>
      <c r="AH2992" s="162"/>
      <c r="AI2992" s="162"/>
      <c r="AJ2992" s="162"/>
      <c r="AK2992" s="162"/>
      <c r="AL2992" s="162"/>
      <c r="AM2992" s="162">
        <v>2</v>
      </c>
      <c r="AN2992" s="162">
        <v>1</v>
      </c>
      <c r="AO2992" s="162">
        <v>1</v>
      </c>
      <c r="AP2992" s="162">
        <v>1</v>
      </c>
      <c r="AQ2992" s="162">
        <v>1</v>
      </c>
      <c r="AR2992" s="162">
        <v>1</v>
      </c>
      <c r="AS2992" s="162">
        <v>2</v>
      </c>
      <c r="AT2992" s="162">
        <v>2</v>
      </c>
      <c r="AU2992" s="162">
        <v>2</v>
      </c>
      <c r="AV2992" s="162"/>
      <c r="AW2992" s="162"/>
      <c r="AX2992" s="162"/>
      <c r="AY2992" s="162"/>
      <c r="AZ2992" s="162">
        <v>2</v>
      </c>
      <c r="BA2992" s="162">
        <v>1</v>
      </c>
      <c r="BB2992" s="162">
        <v>1</v>
      </c>
      <c r="BC2992" s="162">
        <v>1</v>
      </c>
      <c r="BD2992" s="162">
        <v>1</v>
      </c>
      <c r="BE2992" s="162">
        <v>2</v>
      </c>
      <c r="BF2992" s="162"/>
      <c r="BG2992" s="162"/>
      <c r="BH2992" s="162"/>
      <c r="BI2992" s="162"/>
      <c r="BJ2992" s="162">
        <v>2</v>
      </c>
      <c r="BK2992" s="162"/>
      <c r="BL2992" s="162"/>
      <c r="BM2992" s="162"/>
      <c r="BN2992" s="162"/>
    </row>
    <row r="2993" spans="1:66" x14ac:dyDescent="0.2">
      <c r="A2993" s="57">
        <v>622</v>
      </c>
      <c r="B2993" s="162" t="s">
        <v>3655</v>
      </c>
      <c r="C2993" s="195">
        <v>44743.400821759256</v>
      </c>
      <c r="D2993" s="55">
        <v>260</v>
      </c>
      <c r="I2993" s="46" t="s">
        <v>839</v>
      </c>
      <c r="J2993" s="162">
        <v>1</v>
      </c>
      <c r="K2993" s="162">
        <v>1</v>
      </c>
      <c r="L2993" s="162"/>
      <c r="M2993" s="162"/>
      <c r="N2993" s="162"/>
      <c r="O2993" s="162">
        <v>1</v>
      </c>
      <c r="P2993" s="162"/>
      <c r="Q2993" s="162"/>
      <c r="R2993" s="162"/>
      <c r="S2993" s="162">
        <v>1</v>
      </c>
      <c r="T2993" s="162"/>
      <c r="U2993" s="162"/>
      <c r="V2993" s="162"/>
      <c r="W2993" s="162">
        <v>1</v>
      </c>
      <c r="X2993" s="162"/>
      <c r="Y2993" s="162"/>
      <c r="Z2993" s="162"/>
      <c r="AA2993" s="162">
        <v>2</v>
      </c>
      <c r="AB2993" s="162"/>
      <c r="AC2993" s="162"/>
      <c r="AD2993" s="162"/>
      <c r="AE2993" s="162"/>
      <c r="AF2993" s="162"/>
      <c r="AG2993" s="162">
        <v>1</v>
      </c>
      <c r="AH2993" s="162"/>
      <c r="AI2993" s="162"/>
      <c r="AJ2993" s="162"/>
      <c r="AK2993" s="162"/>
      <c r="AL2993" s="162"/>
      <c r="AM2993" s="162">
        <v>4</v>
      </c>
      <c r="AN2993" s="162"/>
      <c r="AO2993" s="162"/>
      <c r="AP2993" s="162"/>
      <c r="AQ2993" s="162"/>
      <c r="AR2993" s="162"/>
      <c r="AS2993" s="162">
        <v>3</v>
      </c>
      <c r="AT2993" s="162">
        <v>1</v>
      </c>
      <c r="AU2993" s="162">
        <v>1</v>
      </c>
      <c r="AV2993" s="162"/>
      <c r="AW2993" s="162"/>
      <c r="AX2993" s="162"/>
      <c r="AY2993" s="162"/>
      <c r="AZ2993" s="162">
        <v>1</v>
      </c>
      <c r="BA2993" s="162">
        <v>1</v>
      </c>
      <c r="BB2993" s="162">
        <v>1</v>
      </c>
      <c r="BC2993" s="162">
        <v>1</v>
      </c>
      <c r="BD2993" s="162">
        <v>1</v>
      </c>
      <c r="BE2993" s="162">
        <v>1</v>
      </c>
      <c r="BF2993" s="162"/>
      <c r="BG2993" s="162"/>
      <c r="BH2993" s="162"/>
      <c r="BI2993" s="162"/>
      <c r="BJ2993" s="162">
        <v>1</v>
      </c>
      <c r="BK2993" s="162"/>
      <c r="BL2993" s="162"/>
      <c r="BM2993" s="162"/>
      <c r="BN2993" s="162"/>
    </row>
    <row r="2994" spans="1:66" x14ac:dyDescent="0.2">
      <c r="A2994" s="57">
        <v>622</v>
      </c>
      <c r="B2994" s="162" t="s">
        <v>3655</v>
      </c>
      <c r="C2994" s="195">
        <v>44743.386631944442</v>
      </c>
      <c r="D2994" s="55">
        <v>260</v>
      </c>
      <c r="I2994" s="46" t="s">
        <v>839</v>
      </c>
      <c r="J2994" s="162">
        <v>2</v>
      </c>
      <c r="K2994" s="162">
        <v>2</v>
      </c>
      <c r="L2994" s="162"/>
      <c r="M2994" s="162"/>
      <c r="N2994" s="162"/>
      <c r="O2994" s="162">
        <v>1</v>
      </c>
      <c r="P2994" s="162"/>
      <c r="Q2994" s="162"/>
      <c r="R2994" s="162"/>
      <c r="S2994" s="162">
        <v>1</v>
      </c>
      <c r="T2994" s="162"/>
      <c r="U2994" s="162"/>
      <c r="V2994" s="162"/>
      <c r="W2994" s="162">
        <v>2</v>
      </c>
      <c r="X2994" s="162"/>
      <c r="Y2994" s="162"/>
      <c r="Z2994" s="162"/>
      <c r="AA2994" s="162">
        <v>1</v>
      </c>
      <c r="AB2994" s="162"/>
      <c r="AC2994" s="162"/>
      <c r="AD2994" s="162"/>
      <c r="AE2994" s="162"/>
      <c r="AF2994" s="162"/>
      <c r="AG2994" s="162">
        <v>2</v>
      </c>
      <c r="AH2994" s="162"/>
      <c r="AI2994" s="162"/>
      <c r="AJ2994" s="162"/>
      <c r="AK2994" s="162"/>
      <c r="AL2994" s="162"/>
      <c r="AM2994" s="162">
        <v>4</v>
      </c>
      <c r="AN2994" s="162"/>
      <c r="AO2994" s="162"/>
      <c r="AP2994" s="162"/>
      <c r="AQ2994" s="162"/>
      <c r="AR2994" s="162"/>
      <c r="AS2994" s="162">
        <v>2</v>
      </c>
      <c r="AT2994" s="162">
        <v>1</v>
      </c>
      <c r="AU2994" s="162">
        <v>1</v>
      </c>
      <c r="AV2994" s="162"/>
      <c r="AW2994" s="162"/>
      <c r="AX2994" s="162"/>
      <c r="AY2994" s="162"/>
      <c r="AZ2994" s="162">
        <v>1</v>
      </c>
      <c r="BA2994" s="162">
        <v>1</v>
      </c>
      <c r="BB2994" s="162">
        <v>1</v>
      </c>
      <c r="BC2994" s="162">
        <v>1</v>
      </c>
      <c r="BD2994" s="162">
        <v>1</v>
      </c>
      <c r="BE2994" s="162">
        <v>2</v>
      </c>
      <c r="BF2994" s="162"/>
      <c r="BG2994" s="162"/>
      <c r="BH2994" s="162"/>
      <c r="BI2994" s="162"/>
      <c r="BJ2994" s="162">
        <v>2</v>
      </c>
      <c r="BK2994" s="162"/>
      <c r="BL2994" s="162"/>
      <c r="BM2994" s="162"/>
      <c r="BN2994" s="162"/>
    </row>
    <row r="2995" spans="1:66" x14ac:dyDescent="0.2">
      <c r="A2995" s="57">
        <v>622</v>
      </c>
      <c r="B2995" s="162" t="s">
        <v>3655</v>
      </c>
      <c r="C2995" s="195">
        <v>44743.372974537036</v>
      </c>
      <c r="D2995" s="55">
        <v>260</v>
      </c>
      <c r="I2995" s="46" t="s">
        <v>839</v>
      </c>
      <c r="J2995" s="162">
        <v>1</v>
      </c>
      <c r="K2995" s="162">
        <v>1</v>
      </c>
      <c r="L2995" s="162"/>
      <c r="M2995" s="162"/>
      <c r="N2995" s="162"/>
      <c r="O2995" s="162">
        <v>1</v>
      </c>
      <c r="P2995" s="162"/>
      <c r="Q2995" s="162"/>
      <c r="R2995" s="162"/>
      <c r="S2995" s="162">
        <v>1</v>
      </c>
      <c r="T2995" s="162"/>
      <c r="U2995" s="162"/>
      <c r="V2995" s="162"/>
      <c r="W2995" s="162">
        <v>1</v>
      </c>
      <c r="X2995" s="162"/>
      <c r="Y2995" s="162"/>
      <c r="Z2995" s="162"/>
      <c r="AA2995" s="162">
        <v>1</v>
      </c>
      <c r="AB2995" s="162"/>
      <c r="AC2995" s="162"/>
      <c r="AD2995" s="162"/>
      <c r="AE2995" s="162"/>
      <c r="AF2995" s="162"/>
      <c r="AG2995" s="162">
        <v>1</v>
      </c>
      <c r="AH2995" s="162"/>
      <c r="AI2995" s="162"/>
      <c r="AJ2995" s="162"/>
      <c r="AK2995" s="162"/>
      <c r="AL2995" s="162"/>
      <c r="AM2995" s="162">
        <v>1</v>
      </c>
      <c r="AN2995" s="162">
        <v>1</v>
      </c>
      <c r="AO2995" s="162">
        <v>1</v>
      </c>
      <c r="AP2995" s="162">
        <v>1</v>
      </c>
      <c r="AQ2995" s="162">
        <v>3</v>
      </c>
      <c r="AR2995" s="162">
        <v>2</v>
      </c>
      <c r="AS2995" s="162">
        <v>2</v>
      </c>
      <c r="AT2995" s="162">
        <v>1</v>
      </c>
      <c r="AU2995" s="162">
        <v>1</v>
      </c>
      <c r="AV2995" s="162"/>
      <c r="AW2995" s="162"/>
      <c r="AX2995" s="162"/>
      <c r="AY2995" s="162"/>
      <c r="AZ2995" s="162">
        <v>1</v>
      </c>
      <c r="BA2995" s="162">
        <v>1</v>
      </c>
      <c r="BB2995" s="162">
        <v>1</v>
      </c>
      <c r="BC2995" s="162">
        <v>1</v>
      </c>
      <c r="BD2995" s="162">
        <v>1</v>
      </c>
      <c r="BE2995" s="162">
        <v>1</v>
      </c>
      <c r="BF2995" s="162"/>
      <c r="BG2995" s="162"/>
      <c r="BH2995" s="162"/>
      <c r="BI2995" s="162"/>
      <c r="BJ2995" s="162">
        <v>1</v>
      </c>
      <c r="BK2995" s="162"/>
      <c r="BL2995" s="162"/>
      <c r="BM2995" s="162"/>
      <c r="BN2995" s="162"/>
    </row>
    <row r="2996" spans="1:66" x14ac:dyDescent="0.2">
      <c r="A2996" s="57">
        <v>622</v>
      </c>
      <c r="B2996" s="162" t="s">
        <v>3655</v>
      </c>
      <c r="C2996" s="195">
        <v>44743.370613425926</v>
      </c>
      <c r="D2996" s="55">
        <v>260</v>
      </c>
      <c r="I2996" s="46" t="s">
        <v>839</v>
      </c>
      <c r="J2996" s="162">
        <v>1</v>
      </c>
      <c r="K2996" s="162">
        <v>1</v>
      </c>
      <c r="L2996" s="162"/>
      <c r="M2996" s="162"/>
      <c r="N2996" s="162"/>
      <c r="O2996" s="162">
        <v>1</v>
      </c>
      <c r="P2996" s="162"/>
      <c r="Q2996" s="162"/>
      <c r="R2996" s="162"/>
      <c r="S2996" s="162">
        <v>1</v>
      </c>
      <c r="T2996" s="162"/>
      <c r="U2996" s="162"/>
      <c r="V2996" s="162"/>
      <c r="W2996" s="162">
        <v>1</v>
      </c>
      <c r="X2996" s="162"/>
      <c r="Y2996" s="162"/>
      <c r="Z2996" s="162"/>
      <c r="AA2996" s="162">
        <v>1</v>
      </c>
      <c r="AB2996" s="162"/>
      <c r="AC2996" s="162"/>
      <c r="AD2996" s="162"/>
      <c r="AE2996" s="162"/>
      <c r="AF2996" s="162"/>
      <c r="AG2996" s="162">
        <v>1</v>
      </c>
      <c r="AH2996" s="162"/>
      <c r="AI2996" s="162"/>
      <c r="AJ2996" s="162"/>
      <c r="AK2996" s="162"/>
      <c r="AL2996" s="162"/>
      <c r="AM2996" s="162">
        <v>4</v>
      </c>
      <c r="AN2996" s="162"/>
      <c r="AO2996" s="162"/>
      <c r="AP2996" s="162"/>
      <c r="AQ2996" s="162"/>
      <c r="AR2996" s="162"/>
      <c r="AS2996" s="162">
        <v>4</v>
      </c>
      <c r="AT2996" s="162">
        <v>1</v>
      </c>
      <c r="AU2996" s="162">
        <v>1</v>
      </c>
      <c r="AV2996" s="162"/>
      <c r="AW2996" s="162"/>
      <c r="AX2996" s="162"/>
      <c r="AY2996" s="162"/>
      <c r="AZ2996" s="162">
        <v>1</v>
      </c>
      <c r="BA2996" s="162">
        <v>1</v>
      </c>
      <c r="BB2996" s="162">
        <v>1</v>
      </c>
      <c r="BC2996" s="162">
        <v>1</v>
      </c>
      <c r="BD2996" s="162">
        <v>1</v>
      </c>
      <c r="BE2996" s="162">
        <v>1</v>
      </c>
      <c r="BF2996" s="162"/>
      <c r="BG2996" s="162"/>
      <c r="BH2996" s="162"/>
      <c r="BI2996" s="162"/>
      <c r="BJ2996" s="162">
        <v>1</v>
      </c>
      <c r="BK2996" s="162"/>
      <c r="BL2996" s="162"/>
      <c r="BM2996" s="162"/>
      <c r="BN2996" s="162"/>
    </row>
    <row r="2997" spans="1:66" x14ac:dyDescent="0.2">
      <c r="A2997" s="57">
        <v>522</v>
      </c>
      <c r="B2997" s="162" t="s">
        <v>3655</v>
      </c>
      <c r="C2997" s="195">
        <v>44719.471782407411</v>
      </c>
      <c r="D2997" s="55">
        <v>260</v>
      </c>
      <c r="I2997" s="46" t="s">
        <v>839</v>
      </c>
      <c r="J2997" s="162">
        <v>1</v>
      </c>
      <c r="K2997" s="162">
        <v>1</v>
      </c>
      <c r="L2997" s="162"/>
      <c r="M2997" s="162"/>
      <c r="N2997" s="162"/>
      <c r="O2997" s="162">
        <v>1</v>
      </c>
      <c r="P2997" s="162"/>
      <c r="Q2997" s="162"/>
      <c r="R2997" s="162"/>
      <c r="S2997" s="162">
        <v>1</v>
      </c>
      <c r="T2997" s="162"/>
      <c r="U2997" s="162"/>
      <c r="V2997" s="162"/>
      <c r="W2997" s="162">
        <v>1</v>
      </c>
      <c r="X2997" s="162"/>
      <c r="Y2997" s="162"/>
      <c r="Z2997" s="162"/>
      <c r="AA2997" s="162">
        <v>1</v>
      </c>
      <c r="AB2997" s="162"/>
      <c r="AC2997" s="162"/>
      <c r="AD2997" s="162"/>
      <c r="AE2997" s="162"/>
      <c r="AF2997" s="162"/>
      <c r="AG2997" s="162">
        <v>2</v>
      </c>
      <c r="AH2997" s="162"/>
      <c r="AI2997" s="162"/>
      <c r="AJ2997" s="162"/>
      <c r="AK2997" s="162"/>
      <c r="AL2997" s="162"/>
      <c r="AM2997" s="162">
        <v>1</v>
      </c>
      <c r="AN2997" s="162">
        <v>1</v>
      </c>
      <c r="AO2997" s="162">
        <v>3</v>
      </c>
      <c r="AP2997" s="162">
        <v>3</v>
      </c>
      <c r="AQ2997" s="162">
        <v>3</v>
      </c>
      <c r="AR2997" s="162">
        <v>3</v>
      </c>
      <c r="AS2997" s="162">
        <v>4</v>
      </c>
      <c r="AT2997" s="162">
        <v>1</v>
      </c>
      <c r="AU2997" s="162">
        <v>1</v>
      </c>
      <c r="AV2997" s="162"/>
      <c r="AW2997" s="162"/>
      <c r="AX2997" s="162"/>
      <c r="AY2997" s="162"/>
      <c r="AZ2997" s="162">
        <v>2</v>
      </c>
      <c r="BA2997" s="162">
        <v>1</v>
      </c>
      <c r="BB2997" s="162">
        <v>1</v>
      </c>
      <c r="BC2997" s="162">
        <v>1</v>
      </c>
      <c r="BD2997" s="162">
        <v>1</v>
      </c>
      <c r="BE2997" s="162">
        <v>1</v>
      </c>
      <c r="BF2997" s="162"/>
      <c r="BG2997" s="162"/>
      <c r="BH2997" s="162"/>
      <c r="BI2997" s="162"/>
      <c r="BJ2997" s="162">
        <v>1</v>
      </c>
      <c r="BK2997" s="162"/>
      <c r="BL2997" s="162"/>
      <c r="BM2997" s="162"/>
      <c r="BN2997" s="162"/>
    </row>
    <row r="2998" spans="1:66" x14ac:dyDescent="0.2">
      <c r="A2998" s="57">
        <v>522</v>
      </c>
      <c r="B2998" s="162" t="s">
        <v>3655</v>
      </c>
      <c r="C2998" s="195">
        <v>44718.902245370373</v>
      </c>
      <c r="D2998" s="55">
        <v>260</v>
      </c>
      <c r="I2998" s="46" t="s">
        <v>839</v>
      </c>
      <c r="J2998" s="162">
        <v>1</v>
      </c>
      <c r="K2998" s="162">
        <v>1</v>
      </c>
      <c r="L2998" s="162"/>
      <c r="M2998" s="162"/>
      <c r="N2998" s="162"/>
      <c r="O2998" s="162">
        <v>1</v>
      </c>
      <c r="P2998" s="162"/>
      <c r="Q2998" s="162"/>
      <c r="R2998" s="162"/>
      <c r="S2998" s="162">
        <v>1</v>
      </c>
      <c r="T2998" s="162"/>
      <c r="U2998" s="162"/>
      <c r="V2998" s="162"/>
      <c r="W2998" s="162">
        <v>1</v>
      </c>
      <c r="X2998" s="162"/>
      <c r="Y2998" s="162"/>
      <c r="Z2998" s="162"/>
      <c r="AA2998" s="162">
        <v>2</v>
      </c>
      <c r="AB2998" s="162"/>
      <c r="AC2998" s="162"/>
      <c r="AD2998" s="162"/>
      <c r="AE2998" s="162"/>
      <c r="AF2998" s="162"/>
      <c r="AG2998" s="162">
        <v>1</v>
      </c>
      <c r="AH2998" s="162"/>
      <c r="AI2998" s="162"/>
      <c r="AJ2998" s="162"/>
      <c r="AK2998" s="162"/>
      <c r="AL2998" s="162"/>
      <c r="AM2998" s="162">
        <v>1</v>
      </c>
      <c r="AN2998" s="162">
        <v>3</v>
      </c>
      <c r="AO2998" s="162">
        <v>3</v>
      </c>
      <c r="AP2998" s="162">
        <v>1</v>
      </c>
      <c r="AQ2998" s="162">
        <v>3</v>
      </c>
      <c r="AR2998" s="162">
        <v>2</v>
      </c>
      <c r="AS2998" s="162">
        <v>4</v>
      </c>
      <c r="AT2998" s="162">
        <v>1</v>
      </c>
      <c r="AU2998" s="162">
        <v>1</v>
      </c>
      <c r="AV2998" s="162"/>
      <c r="AW2998" s="162"/>
      <c r="AX2998" s="162"/>
      <c r="AY2998" s="162"/>
      <c r="AZ2998" s="162">
        <v>1</v>
      </c>
      <c r="BA2998" s="162">
        <v>1</v>
      </c>
      <c r="BB2998" s="162">
        <v>1</v>
      </c>
      <c r="BC2998" s="162">
        <v>1</v>
      </c>
      <c r="BD2998" s="162">
        <v>1</v>
      </c>
      <c r="BE2998" s="162">
        <v>1</v>
      </c>
      <c r="BF2998" s="162"/>
      <c r="BG2998" s="162"/>
      <c r="BH2998" s="162"/>
      <c r="BI2998" s="162"/>
      <c r="BJ2998" s="162">
        <v>1</v>
      </c>
      <c r="BK2998" s="162"/>
      <c r="BL2998" s="162"/>
      <c r="BM2998" s="162"/>
      <c r="BN2998" s="162"/>
    </row>
    <row r="2999" spans="1:66" x14ac:dyDescent="0.2">
      <c r="A2999" s="57">
        <v>522</v>
      </c>
      <c r="B2999" s="162" t="s">
        <v>3655</v>
      </c>
      <c r="C2999" s="195">
        <v>44714.794710648152</v>
      </c>
      <c r="D2999" s="55">
        <v>260</v>
      </c>
      <c r="I2999" s="46" t="s">
        <v>839</v>
      </c>
      <c r="J2999" s="162">
        <v>4</v>
      </c>
      <c r="K2999" s="162">
        <v>4</v>
      </c>
      <c r="L2999" s="162">
        <v>2</v>
      </c>
      <c r="M2999" s="162">
        <v>2</v>
      </c>
      <c r="N2999" s="162">
        <v>3</v>
      </c>
      <c r="O2999" s="162">
        <v>3</v>
      </c>
      <c r="P2999" s="162">
        <v>2</v>
      </c>
      <c r="Q2999" s="162">
        <v>2</v>
      </c>
      <c r="R2999" s="162">
        <v>2</v>
      </c>
      <c r="S2999" s="162">
        <v>4</v>
      </c>
      <c r="T2999" s="162">
        <v>2</v>
      </c>
      <c r="U2999" s="162">
        <v>2</v>
      </c>
      <c r="V2999" s="162">
        <v>3</v>
      </c>
      <c r="W2999" s="162">
        <v>4</v>
      </c>
      <c r="X2999" s="162">
        <v>1</v>
      </c>
      <c r="Y2999" s="162">
        <v>3</v>
      </c>
      <c r="Z2999" s="162">
        <v>3</v>
      </c>
      <c r="AA2999" s="162">
        <v>4</v>
      </c>
      <c r="AB2999" s="162">
        <v>3</v>
      </c>
      <c r="AC2999" s="162">
        <v>2</v>
      </c>
      <c r="AD2999" s="162">
        <v>3</v>
      </c>
      <c r="AE2999" s="162">
        <v>2</v>
      </c>
      <c r="AF2999" s="162">
        <v>2</v>
      </c>
      <c r="AG2999" s="162">
        <v>4</v>
      </c>
      <c r="AH2999" s="162">
        <v>2</v>
      </c>
      <c r="AI2999" s="162">
        <v>1</v>
      </c>
      <c r="AJ2999" s="162">
        <v>1</v>
      </c>
      <c r="AK2999" s="162">
        <v>3</v>
      </c>
      <c r="AL2999" s="162">
        <v>2</v>
      </c>
      <c r="AM2999" s="162">
        <v>4</v>
      </c>
      <c r="AN2999" s="162"/>
      <c r="AO2999" s="162"/>
      <c r="AP2999" s="162"/>
      <c r="AQ2999" s="162"/>
      <c r="AR2999" s="162"/>
      <c r="AS2999" s="162">
        <v>1</v>
      </c>
      <c r="AT2999" s="162">
        <v>4</v>
      </c>
      <c r="AU2999" s="162">
        <v>1</v>
      </c>
      <c r="AV2999" s="162"/>
      <c r="AW2999" s="162"/>
      <c r="AX2999" s="162"/>
      <c r="AY2999" s="162"/>
      <c r="AZ2999" s="162">
        <v>4</v>
      </c>
      <c r="BA2999" s="162">
        <v>1</v>
      </c>
      <c r="BB2999" s="162">
        <v>1</v>
      </c>
      <c r="BC2999" s="162">
        <v>3</v>
      </c>
      <c r="BD2999" s="162">
        <v>1</v>
      </c>
      <c r="BE2999" s="162">
        <v>4</v>
      </c>
      <c r="BF2999" s="162">
        <v>2</v>
      </c>
      <c r="BG2999" s="162">
        <v>2</v>
      </c>
      <c r="BH2999" s="162">
        <v>2</v>
      </c>
      <c r="BI2999" s="162">
        <v>2</v>
      </c>
      <c r="BJ2999" s="162">
        <v>4</v>
      </c>
      <c r="BK2999" s="162">
        <v>2</v>
      </c>
      <c r="BL2999" s="162">
        <v>2</v>
      </c>
      <c r="BM2999" s="162">
        <v>3</v>
      </c>
      <c r="BN2999" s="162">
        <v>3</v>
      </c>
    </row>
    <row r="3000" spans="1:66" x14ac:dyDescent="0.2">
      <c r="A3000" s="57">
        <v>522</v>
      </c>
      <c r="B3000" s="162" t="s">
        <v>3655</v>
      </c>
      <c r="C3000" s="195">
        <v>44714.291585648149</v>
      </c>
      <c r="D3000" s="55">
        <v>260</v>
      </c>
      <c r="I3000" s="46" t="s">
        <v>839</v>
      </c>
      <c r="J3000" s="162">
        <v>1</v>
      </c>
      <c r="K3000" s="162">
        <v>1</v>
      </c>
      <c r="L3000" s="162"/>
      <c r="M3000" s="162"/>
      <c r="N3000" s="162"/>
      <c r="O3000" s="162">
        <v>1</v>
      </c>
      <c r="P3000" s="162"/>
      <c r="Q3000" s="162"/>
      <c r="R3000" s="162"/>
      <c r="S3000" s="162">
        <v>1</v>
      </c>
      <c r="T3000" s="162"/>
      <c r="U3000" s="162"/>
      <c r="V3000" s="162"/>
      <c r="W3000" s="162">
        <v>1</v>
      </c>
      <c r="X3000" s="162"/>
      <c r="Y3000" s="162"/>
      <c r="Z3000" s="162"/>
      <c r="AA3000" s="162">
        <v>1</v>
      </c>
      <c r="AB3000" s="162"/>
      <c r="AC3000" s="162"/>
      <c r="AD3000" s="162"/>
      <c r="AE3000" s="162"/>
      <c r="AF3000" s="162"/>
      <c r="AG3000" s="162">
        <v>1</v>
      </c>
      <c r="AH3000" s="162"/>
      <c r="AI3000" s="162"/>
      <c r="AJ3000" s="162"/>
      <c r="AK3000" s="162"/>
      <c r="AL3000" s="162"/>
      <c r="AM3000" s="162">
        <v>3</v>
      </c>
      <c r="AN3000" s="162"/>
      <c r="AO3000" s="162"/>
      <c r="AP3000" s="162"/>
      <c r="AQ3000" s="162"/>
      <c r="AR3000" s="162"/>
      <c r="AS3000" s="162">
        <v>3</v>
      </c>
      <c r="AT3000" s="162">
        <v>1</v>
      </c>
      <c r="AU3000" s="162">
        <v>1</v>
      </c>
      <c r="AV3000" s="162"/>
      <c r="AW3000" s="162"/>
      <c r="AX3000" s="162"/>
      <c r="AY3000" s="162"/>
      <c r="AZ3000" s="162">
        <v>1</v>
      </c>
      <c r="BA3000" s="162">
        <v>1</v>
      </c>
      <c r="BB3000" s="162">
        <v>1</v>
      </c>
      <c r="BC3000" s="162">
        <v>1</v>
      </c>
      <c r="BD3000" s="162">
        <v>1</v>
      </c>
      <c r="BE3000" s="162">
        <v>1</v>
      </c>
      <c r="BF3000" s="162"/>
      <c r="BG3000" s="162"/>
      <c r="BH3000" s="162"/>
      <c r="BI3000" s="162"/>
      <c r="BJ3000" s="162">
        <v>1</v>
      </c>
      <c r="BK3000" s="162"/>
      <c r="BL3000" s="162"/>
      <c r="BM3000" s="162"/>
      <c r="BN3000" s="162"/>
    </row>
    <row r="3001" spans="1:66" x14ac:dyDescent="0.2">
      <c r="A3001" s="57">
        <v>522</v>
      </c>
      <c r="B3001" s="162" t="s">
        <v>3655</v>
      </c>
      <c r="C3001" s="195">
        <v>44713.542430555557</v>
      </c>
      <c r="D3001" s="55">
        <v>260</v>
      </c>
      <c r="I3001" s="46" t="s">
        <v>839</v>
      </c>
      <c r="J3001" s="162">
        <v>1</v>
      </c>
      <c r="K3001" s="162">
        <v>1</v>
      </c>
      <c r="L3001" s="162"/>
      <c r="M3001" s="162"/>
      <c r="N3001" s="162"/>
      <c r="O3001" s="162">
        <v>1</v>
      </c>
      <c r="P3001" s="162"/>
      <c r="Q3001" s="162"/>
      <c r="R3001" s="162"/>
      <c r="S3001" s="162">
        <v>1</v>
      </c>
      <c r="T3001" s="162"/>
      <c r="U3001" s="162"/>
      <c r="V3001" s="162"/>
      <c r="W3001" s="162">
        <v>1</v>
      </c>
      <c r="X3001" s="162"/>
      <c r="Y3001" s="162"/>
      <c r="Z3001" s="162"/>
      <c r="AA3001" s="162">
        <v>1</v>
      </c>
      <c r="AB3001" s="162"/>
      <c r="AC3001" s="162"/>
      <c r="AD3001" s="162"/>
      <c r="AE3001" s="162"/>
      <c r="AF3001" s="162"/>
      <c r="AG3001" s="162">
        <v>1</v>
      </c>
      <c r="AH3001" s="162"/>
      <c r="AI3001" s="162"/>
      <c r="AJ3001" s="162"/>
      <c r="AK3001" s="162"/>
      <c r="AL3001" s="162"/>
      <c r="AM3001" s="162">
        <v>4</v>
      </c>
      <c r="AN3001" s="162"/>
      <c r="AO3001" s="162"/>
      <c r="AP3001" s="162"/>
      <c r="AQ3001" s="162"/>
      <c r="AR3001" s="162"/>
      <c r="AS3001" s="162">
        <v>4</v>
      </c>
      <c r="AT3001" s="162">
        <v>1</v>
      </c>
      <c r="AU3001" s="162">
        <v>1</v>
      </c>
      <c r="AV3001" s="162"/>
      <c r="AW3001" s="162"/>
      <c r="AX3001" s="162"/>
      <c r="AY3001" s="162"/>
      <c r="AZ3001" s="162">
        <v>1</v>
      </c>
      <c r="BA3001" s="162">
        <v>1</v>
      </c>
      <c r="BB3001" s="162">
        <v>1</v>
      </c>
      <c r="BC3001" s="162">
        <v>1</v>
      </c>
      <c r="BD3001" s="162">
        <v>1</v>
      </c>
      <c r="BE3001" s="162">
        <v>1</v>
      </c>
      <c r="BF3001" s="162"/>
      <c r="BG3001" s="162"/>
      <c r="BH3001" s="162"/>
      <c r="BI3001" s="162"/>
      <c r="BJ3001" s="162">
        <v>1</v>
      </c>
      <c r="BK3001" s="162"/>
      <c r="BL3001" s="162"/>
      <c r="BM3001" s="162"/>
      <c r="BN3001" s="162"/>
    </row>
    <row r="3002" spans="1:66" x14ac:dyDescent="0.2">
      <c r="A3002" s="57">
        <v>522</v>
      </c>
      <c r="B3002" s="162" t="s">
        <v>3655</v>
      </c>
      <c r="C3002" s="195">
        <v>44713.473425925928</v>
      </c>
      <c r="D3002" s="55">
        <v>260</v>
      </c>
      <c r="I3002" s="46" t="s">
        <v>839</v>
      </c>
      <c r="J3002" s="162">
        <v>1</v>
      </c>
      <c r="K3002" s="162">
        <v>1</v>
      </c>
      <c r="L3002" s="162"/>
      <c r="M3002" s="162"/>
      <c r="N3002" s="162"/>
      <c r="O3002" s="162">
        <v>1</v>
      </c>
      <c r="P3002" s="162"/>
      <c r="Q3002" s="162"/>
      <c r="R3002" s="162"/>
      <c r="S3002" s="162">
        <v>1</v>
      </c>
      <c r="T3002" s="162"/>
      <c r="U3002" s="162"/>
      <c r="V3002" s="162"/>
      <c r="W3002" s="162">
        <v>1</v>
      </c>
      <c r="X3002" s="162"/>
      <c r="Y3002" s="162"/>
      <c r="Z3002" s="162"/>
      <c r="AA3002" s="162">
        <v>1</v>
      </c>
      <c r="AB3002" s="162"/>
      <c r="AC3002" s="162"/>
      <c r="AD3002" s="162"/>
      <c r="AE3002" s="162"/>
      <c r="AF3002" s="162"/>
      <c r="AG3002" s="162">
        <v>1</v>
      </c>
      <c r="AH3002" s="162"/>
      <c r="AI3002" s="162"/>
      <c r="AJ3002" s="162"/>
      <c r="AK3002" s="162"/>
      <c r="AL3002" s="162"/>
      <c r="AM3002" s="162">
        <v>4</v>
      </c>
      <c r="AN3002" s="162"/>
      <c r="AO3002" s="162"/>
      <c r="AP3002" s="162"/>
      <c r="AQ3002" s="162"/>
      <c r="AR3002" s="162"/>
      <c r="AS3002" s="162">
        <v>4</v>
      </c>
      <c r="AT3002" s="162">
        <v>1</v>
      </c>
      <c r="AU3002" s="162">
        <v>1</v>
      </c>
      <c r="AV3002" s="162"/>
      <c r="AW3002" s="162"/>
      <c r="AX3002" s="162"/>
      <c r="AY3002" s="162"/>
      <c r="AZ3002" s="162">
        <v>1</v>
      </c>
      <c r="BA3002" s="162">
        <v>1</v>
      </c>
      <c r="BB3002" s="162">
        <v>1</v>
      </c>
      <c r="BC3002" s="162">
        <v>1</v>
      </c>
      <c r="BD3002" s="162">
        <v>1</v>
      </c>
      <c r="BE3002" s="162">
        <v>1</v>
      </c>
      <c r="BF3002" s="162"/>
      <c r="BG3002" s="162"/>
      <c r="BH3002" s="162"/>
      <c r="BI3002" s="162"/>
      <c r="BJ3002" s="162">
        <v>1</v>
      </c>
      <c r="BK3002" s="162"/>
      <c r="BL3002" s="162"/>
      <c r="BM3002" s="162"/>
      <c r="BN3002" s="162"/>
    </row>
    <row r="3003" spans="1:66" x14ac:dyDescent="0.2">
      <c r="A3003" s="57">
        <v>522</v>
      </c>
      <c r="B3003" s="162" t="s">
        <v>3655</v>
      </c>
      <c r="C3003" s="195">
        <v>44713.404756944445</v>
      </c>
      <c r="D3003" s="55">
        <v>260</v>
      </c>
      <c r="I3003" s="46" t="s">
        <v>839</v>
      </c>
      <c r="J3003" s="162">
        <v>1</v>
      </c>
      <c r="K3003" s="162">
        <v>1</v>
      </c>
      <c r="L3003" s="162"/>
      <c r="M3003" s="162"/>
      <c r="N3003" s="162"/>
      <c r="O3003" s="162">
        <v>1</v>
      </c>
      <c r="P3003" s="162"/>
      <c r="Q3003" s="162"/>
      <c r="R3003" s="162"/>
      <c r="S3003" s="162">
        <v>1</v>
      </c>
      <c r="T3003" s="162"/>
      <c r="U3003" s="162"/>
      <c r="V3003" s="162"/>
      <c r="W3003" s="162">
        <v>1</v>
      </c>
      <c r="X3003" s="162"/>
      <c r="Y3003" s="162"/>
      <c r="Z3003" s="162"/>
      <c r="AA3003" s="162">
        <v>1</v>
      </c>
      <c r="AB3003" s="162"/>
      <c r="AC3003" s="162"/>
      <c r="AD3003" s="162"/>
      <c r="AE3003" s="162"/>
      <c r="AF3003" s="162"/>
      <c r="AG3003" s="162">
        <v>1</v>
      </c>
      <c r="AH3003" s="162"/>
      <c r="AI3003" s="162"/>
      <c r="AJ3003" s="162"/>
      <c r="AK3003" s="162"/>
      <c r="AL3003" s="162"/>
      <c r="AM3003" s="162">
        <v>3</v>
      </c>
      <c r="AN3003" s="162"/>
      <c r="AO3003" s="162"/>
      <c r="AP3003" s="162"/>
      <c r="AQ3003" s="162"/>
      <c r="AR3003" s="162"/>
      <c r="AS3003" s="162">
        <v>4</v>
      </c>
      <c r="AT3003" s="162">
        <v>1</v>
      </c>
      <c r="AU3003" s="162">
        <v>1</v>
      </c>
      <c r="AV3003" s="162"/>
      <c r="AW3003" s="162"/>
      <c r="AX3003" s="162"/>
      <c r="AY3003" s="162"/>
      <c r="AZ3003" s="162">
        <v>1</v>
      </c>
      <c r="BA3003" s="162">
        <v>1</v>
      </c>
      <c r="BB3003" s="162">
        <v>1</v>
      </c>
      <c r="BC3003" s="162">
        <v>1</v>
      </c>
      <c r="BD3003" s="162">
        <v>1</v>
      </c>
      <c r="BE3003" s="162">
        <v>2</v>
      </c>
      <c r="BF3003" s="162"/>
      <c r="BG3003" s="162"/>
      <c r="BH3003" s="162"/>
      <c r="BI3003" s="162"/>
      <c r="BJ3003" s="162">
        <v>1</v>
      </c>
      <c r="BK3003" s="162"/>
      <c r="BL3003" s="162"/>
      <c r="BM3003" s="162"/>
      <c r="BN3003" s="162"/>
    </row>
    <row r="3004" spans="1:66" x14ac:dyDescent="0.2">
      <c r="A3004" s="57">
        <v>422</v>
      </c>
      <c r="B3004" s="162" t="s">
        <v>3655</v>
      </c>
      <c r="C3004" s="195">
        <v>44694.758842592593</v>
      </c>
      <c r="D3004" s="55">
        <v>260</v>
      </c>
      <c r="I3004" s="46" t="s">
        <v>839</v>
      </c>
      <c r="J3004" s="162">
        <v>1</v>
      </c>
      <c r="K3004" s="162">
        <v>1</v>
      </c>
      <c r="L3004" s="162"/>
      <c r="M3004" s="162"/>
      <c r="N3004" s="162"/>
      <c r="O3004" s="162">
        <v>1</v>
      </c>
      <c r="P3004" s="162"/>
      <c r="Q3004" s="162"/>
      <c r="R3004" s="162"/>
      <c r="S3004" s="162">
        <v>1</v>
      </c>
      <c r="T3004" s="162"/>
      <c r="U3004" s="162"/>
      <c r="V3004" s="162"/>
      <c r="W3004" s="162">
        <v>1</v>
      </c>
      <c r="X3004" s="162"/>
      <c r="Y3004" s="162"/>
      <c r="Z3004" s="162"/>
      <c r="AA3004" s="162">
        <v>1</v>
      </c>
      <c r="AB3004" s="162"/>
      <c r="AC3004" s="162"/>
      <c r="AD3004" s="162"/>
      <c r="AE3004" s="162"/>
      <c r="AF3004" s="162"/>
      <c r="AG3004" s="162">
        <v>1</v>
      </c>
      <c r="AH3004" s="162"/>
      <c r="AI3004" s="162"/>
      <c r="AJ3004" s="162"/>
      <c r="AK3004" s="162"/>
      <c r="AL3004" s="162"/>
      <c r="AM3004" s="162">
        <v>3</v>
      </c>
      <c r="AN3004" s="162"/>
      <c r="AO3004" s="162"/>
      <c r="AP3004" s="162"/>
      <c r="AQ3004" s="162"/>
      <c r="AR3004" s="162"/>
      <c r="AS3004" s="162">
        <v>4</v>
      </c>
      <c r="AT3004" s="162">
        <v>1</v>
      </c>
      <c r="AU3004" s="162">
        <v>1</v>
      </c>
      <c r="AV3004" s="162"/>
      <c r="AW3004" s="162"/>
      <c r="AX3004" s="162"/>
      <c r="AY3004" s="162"/>
      <c r="AZ3004" s="162">
        <v>1</v>
      </c>
      <c r="BA3004" s="162">
        <v>1</v>
      </c>
      <c r="BB3004" s="162">
        <v>1</v>
      </c>
      <c r="BC3004" s="162">
        <v>1</v>
      </c>
      <c r="BD3004" s="162">
        <v>1</v>
      </c>
      <c r="BE3004" s="162">
        <v>1</v>
      </c>
      <c r="BF3004" s="162"/>
      <c r="BG3004" s="162"/>
      <c r="BH3004" s="162"/>
      <c r="BI3004" s="162"/>
      <c r="BJ3004" s="162">
        <v>1</v>
      </c>
      <c r="BK3004" s="162"/>
      <c r="BL3004" s="162"/>
      <c r="BM3004" s="162"/>
      <c r="BN3004" s="162"/>
    </row>
    <row r="3005" spans="1:66" x14ac:dyDescent="0.2">
      <c r="A3005" s="57">
        <v>422</v>
      </c>
      <c r="B3005" s="162" t="s">
        <v>3655</v>
      </c>
      <c r="C3005" s="195">
        <v>44689.585706018515</v>
      </c>
      <c r="D3005" s="55">
        <v>260</v>
      </c>
      <c r="I3005" s="46" t="s">
        <v>839</v>
      </c>
      <c r="J3005" s="162">
        <v>1</v>
      </c>
      <c r="K3005" s="162">
        <v>1</v>
      </c>
      <c r="L3005" s="162"/>
      <c r="M3005" s="162"/>
      <c r="N3005" s="162"/>
      <c r="O3005" s="162">
        <v>1</v>
      </c>
      <c r="P3005" s="162"/>
      <c r="Q3005" s="162"/>
      <c r="R3005" s="162"/>
      <c r="S3005" s="162">
        <v>1</v>
      </c>
      <c r="T3005" s="162"/>
      <c r="U3005" s="162"/>
      <c r="V3005" s="162"/>
      <c r="W3005" s="162">
        <v>1</v>
      </c>
      <c r="X3005" s="162"/>
      <c r="Y3005" s="162"/>
      <c r="Z3005" s="162"/>
      <c r="AA3005" s="162">
        <v>1</v>
      </c>
      <c r="AB3005" s="162"/>
      <c r="AC3005" s="162"/>
      <c r="AD3005" s="162"/>
      <c r="AE3005" s="162"/>
      <c r="AF3005" s="162"/>
      <c r="AG3005" s="162">
        <v>1</v>
      </c>
      <c r="AH3005" s="162"/>
      <c r="AI3005" s="162"/>
      <c r="AJ3005" s="162"/>
      <c r="AK3005" s="162"/>
      <c r="AL3005" s="162"/>
      <c r="AM3005" s="162">
        <v>2</v>
      </c>
      <c r="AN3005" s="162">
        <v>1</v>
      </c>
      <c r="AO3005" s="162">
        <v>1</v>
      </c>
      <c r="AP3005" s="162">
        <v>3</v>
      </c>
      <c r="AQ3005" s="162">
        <v>3</v>
      </c>
      <c r="AR3005" s="162">
        <v>2</v>
      </c>
      <c r="AS3005" s="162">
        <v>2</v>
      </c>
      <c r="AT3005" s="162">
        <v>1</v>
      </c>
      <c r="AU3005" s="162">
        <v>1</v>
      </c>
      <c r="AV3005" s="162"/>
      <c r="AW3005" s="162"/>
      <c r="AX3005" s="162"/>
      <c r="AY3005" s="162"/>
      <c r="AZ3005" s="162">
        <v>1</v>
      </c>
      <c r="BA3005" s="162">
        <v>1</v>
      </c>
      <c r="BB3005" s="162">
        <v>1</v>
      </c>
      <c r="BC3005" s="162">
        <v>1</v>
      </c>
      <c r="BD3005" s="162">
        <v>1</v>
      </c>
      <c r="BE3005" s="162">
        <v>2</v>
      </c>
      <c r="BF3005" s="162"/>
      <c r="BG3005" s="162"/>
      <c r="BH3005" s="162"/>
      <c r="BI3005" s="162"/>
      <c r="BJ3005" s="162">
        <v>1</v>
      </c>
      <c r="BK3005" s="162"/>
      <c r="BL3005" s="162"/>
      <c r="BM3005" s="162"/>
      <c r="BN3005" s="162"/>
    </row>
    <row r="3006" spans="1:66" x14ac:dyDescent="0.2">
      <c r="A3006" s="57">
        <v>422</v>
      </c>
      <c r="B3006" s="162" t="s">
        <v>3655</v>
      </c>
      <c r="C3006" s="195">
        <v>44687.340601851851</v>
      </c>
      <c r="D3006" s="55">
        <v>260</v>
      </c>
      <c r="I3006" s="46" t="s">
        <v>839</v>
      </c>
      <c r="J3006" s="162">
        <v>1</v>
      </c>
      <c r="K3006" s="162">
        <v>1</v>
      </c>
      <c r="L3006" s="162"/>
      <c r="M3006" s="162"/>
      <c r="N3006" s="162"/>
      <c r="O3006" s="162">
        <v>1</v>
      </c>
      <c r="P3006" s="162"/>
      <c r="Q3006" s="162"/>
      <c r="R3006" s="162"/>
      <c r="S3006" s="162">
        <v>1</v>
      </c>
      <c r="T3006" s="162"/>
      <c r="U3006" s="162"/>
      <c r="V3006" s="162"/>
      <c r="W3006" s="162">
        <v>1</v>
      </c>
      <c r="X3006" s="162"/>
      <c r="Y3006" s="162"/>
      <c r="Z3006" s="162"/>
      <c r="AA3006" s="162">
        <v>1</v>
      </c>
      <c r="AB3006" s="162"/>
      <c r="AC3006" s="162"/>
      <c r="AD3006" s="162"/>
      <c r="AE3006" s="162"/>
      <c r="AF3006" s="162"/>
      <c r="AG3006" s="162">
        <v>1</v>
      </c>
      <c r="AH3006" s="162"/>
      <c r="AI3006" s="162"/>
      <c r="AJ3006" s="162"/>
      <c r="AK3006" s="162"/>
      <c r="AL3006" s="162"/>
      <c r="AM3006" s="162">
        <v>4</v>
      </c>
      <c r="AN3006" s="162"/>
      <c r="AO3006" s="162"/>
      <c r="AP3006" s="162"/>
      <c r="AQ3006" s="162"/>
      <c r="AR3006" s="162"/>
      <c r="AS3006" s="162">
        <v>4</v>
      </c>
      <c r="AT3006" s="162">
        <v>1</v>
      </c>
      <c r="AU3006" s="162">
        <v>1</v>
      </c>
      <c r="AV3006" s="162"/>
      <c r="AW3006" s="162"/>
      <c r="AX3006" s="162"/>
      <c r="AY3006" s="162"/>
      <c r="AZ3006" s="162">
        <v>1</v>
      </c>
      <c r="BA3006" s="162">
        <v>1</v>
      </c>
      <c r="BB3006" s="162">
        <v>1</v>
      </c>
      <c r="BC3006" s="162">
        <v>1</v>
      </c>
      <c r="BD3006" s="162">
        <v>1</v>
      </c>
      <c r="BE3006" s="162">
        <v>1</v>
      </c>
      <c r="BF3006" s="162"/>
      <c r="BG3006" s="162"/>
      <c r="BH3006" s="162"/>
      <c r="BI3006" s="162"/>
      <c r="BJ3006" s="162">
        <v>1</v>
      </c>
      <c r="BK3006" s="162"/>
      <c r="BL3006" s="162"/>
      <c r="BM3006" s="162"/>
      <c r="BN3006" s="162"/>
    </row>
    <row r="3007" spans="1:66" x14ac:dyDescent="0.2">
      <c r="A3007" s="57">
        <v>422</v>
      </c>
      <c r="B3007" s="162" t="s">
        <v>3655</v>
      </c>
      <c r="C3007" s="195">
        <v>44686.846006944441</v>
      </c>
      <c r="D3007" s="55">
        <v>260</v>
      </c>
      <c r="I3007" s="46" t="s">
        <v>839</v>
      </c>
      <c r="J3007" s="162">
        <v>2</v>
      </c>
      <c r="K3007" s="162">
        <v>2</v>
      </c>
      <c r="L3007" s="162"/>
      <c r="M3007" s="162"/>
      <c r="N3007" s="162"/>
      <c r="O3007" s="162">
        <v>2</v>
      </c>
      <c r="P3007" s="162"/>
      <c r="Q3007" s="162"/>
      <c r="R3007" s="162"/>
      <c r="S3007" s="162">
        <v>2</v>
      </c>
      <c r="T3007" s="162"/>
      <c r="U3007" s="162"/>
      <c r="V3007" s="162"/>
      <c r="W3007" s="162">
        <v>2</v>
      </c>
      <c r="X3007" s="162"/>
      <c r="Y3007" s="162"/>
      <c r="Z3007" s="162"/>
      <c r="AA3007" s="162">
        <v>2</v>
      </c>
      <c r="AB3007" s="162"/>
      <c r="AC3007" s="162"/>
      <c r="AD3007" s="162"/>
      <c r="AE3007" s="162"/>
      <c r="AF3007" s="162"/>
      <c r="AG3007" s="162">
        <v>2</v>
      </c>
      <c r="AH3007" s="162"/>
      <c r="AI3007" s="162"/>
      <c r="AJ3007" s="162"/>
      <c r="AK3007" s="162"/>
      <c r="AL3007" s="162"/>
      <c r="AM3007" s="162">
        <v>2</v>
      </c>
      <c r="AN3007" s="162">
        <v>2</v>
      </c>
      <c r="AO3007" s="162">
        <v>2</v>
      </c>
      <c r="AP3007" s="162">
        <v>1</v>
      </c>
      <c r="AQ3007" s="162">
        <v>2</v>
      </c>
      <c r="AR3007" s="162">
        <v>1</v>
      </c>
      <c r="AS3007" s="162">
        <v>4</v>
      </c>
      <c r="AT3007" s="162">
        <v>2</v>
      </c>
      <c r="AU3007" s="162">
        <v>3</v>
      </c>
      <c r="AV3007" s="162">
        <v>1</v>
      </c>
      <c r="AW3007" s="162">
        <v>1</v>
      </c>
      <c r="AX3007" s="162">
        <v>1</v>
      </c>
      <c r="AY3007" s="162">
        <v>2</v>
      </c>
      <c r="AZ3007" s="162">
        <v>1</v>
      </c>
      <c r="BA3007" s="162">
        <v>1</v>
      </c>
      <c r="BB3007" s="162">
        <v>1</v>
      </c>
      <c r="BC3007" s="162">
        <v>1</v>
      </c>
      <c r="BD3007" s="162">
        <v>1</v>
      </c>
      <c r="BE3007" s="162">
        <v>3</v>
      </c>
      <c r="BF3007" s="162">
        <v>2</v>
      </c>
      <c r="BG3007" s="162">
        <v>1</v>
      </c>
      <c r="BH3007" s="162">
        <v>1</v>
      </c>
      <c r="BI3007" s="162">
        <v>2</v>
      </c>
      <c r="BJ3007" s="162">
        <v>2</v>
      </c>
      <c r="BK3007" s="162"/>
      <c r="BL3007" s="162"/>
      <c r="BM3007" s="162"/>
      <c r="BN3007" s="162"/>
    </row>
    <row r="3008" spans="1:66" x14ac:dyDescent="0.2">
      <c r="A3008" s="57">
        <v>422</v>
      </c>
      <c r="B3008" s="162" t="s">
        <v>3655</v>
      </c>
      <c r="C3008" s="195">
        <v>44686.637083333335</v>
      </c>
      <c r="D3008" s="55">
        <v>260</v>
      </c>
      <c r="I3008" s="46" t="s">
        <v>839</v>
      </c>
      <c r="J3008" s="162">
        <v>1</v>
      </c>
      <c r="K3008" s="162">
        <v>1</v>
      </c>
      <c r="L3008" s="162"/>
      <c r="M3008" s="162"/>
      <c r="N3008" s="162"/>
      <c r="O3008" s="162">
        <v>1</v>
      </c>
      <c r="P3008" s="162"/>
      <c r="Q3008" s="162"/>
      <c r="R3008" s="162"/>
      <c r="S3008" s="162">
        <v>1</v>
      </c>
      <c r="T3008" s="162"/>
      <c r="U3008" s="162"/>
      <c r="V3008" s="162"/>
      <c r="W3008" s="162">
        <v>1</v>
      </c>
      <c r="X3008" s="162"/>
      <c r="Y3008" s="162"/>
      <c r="Z3008" s="162"/>
      <c r="AA3008" s="162">
        <v>1</v>
      </c>
      <c r="AB3008" s="162"/>
      <c r="AC3008" s="162"/>
      <c r="AD3008" s="162"/>
      <c r="AE3008" s="162"/>
      <c r="AF3008" s="162"/>
      <c r="AG3008" s="162">
        <v>1</v>
      </c>
      <c r="AH3008" s="162"/>
      <c r="AI3008" s="162"/>
      <c r="AJ3008" s="162"/>
      <c r="AK3008" s="162"/>
      <c r="AL3008" s="162"/>
      <c r="AM3008" s="162">
        <v>3</v>
      </c>
      <c r="AN3008" s="162"/>
      <c r="AO3008" s="162"/>
      <c r="AP3008" s="162"/>
      <c r="AQ3008" s="162"/>
      <c r="AR3008" s="162"/>
      <c r="AS3008" s="162">
        <v>3</v>
      </c>
      <c r="AT3008" s="162">
        <v>1</v>
      </c>
      <c r="AU3008" s="162">
        <v>1</v>
      </c>
      <c r="AV3008" s="162"/>
      <c r="AW3008" s="162"/>
      <c r="AX3008" s="162"/>
      <c r="AY3008" s="162"/>
      <c r="AZ3008" s="162">
        <v>1</v>
      </c>
      <c r="BA3008" s="162">
        <v>1</v>
      </c>
      <c r="BB3008" s="162">
        <v>1</v>
      </c>
      <c r="BC3008" s="162">
        <v>1</v>
      </c>
      <c r="BD3008" s="162">
        <v>1</v>
      </c>
      <c r="BE3008" s="162">
        <v>1</v>
      </c>
      <c r="BF3008" s="162"/>
      <c r="BG3008" s="162"/>
      <c r="BH3008" s="162"/>
      <c r="BI3008" s="162"/>
      <c r="BJ3008" s="162">
        <v>1</v>
      </c>
      <c r="BK3008" s="162"/>
      <c r="BL3008" s="162"/>
      <c r="BM3008" s="162"/>
      <c r="BN3008" s="162"/>
    </row>
    <row r="3009" spans="1:66" x14ac:dyDescent="0.2">
      <c r="A3009" s="57">
        <v>422</v>
      </c>
      <c r="B3009" s="162" t="s">
        <v>3655</v>
      </c>
      <c r="C3009" s="195">
        <v>44684.888773148145</v>
      </c>
      <c r="D3009" s="55">
        <v>260</v>
      </c>
      <c r="I3009" s="46" t="s">
        <v>839</v>
      </c>
      <c r="J3009" s="162">
        <v>1</v>
      </c>
      <c r="K3009" s="162">
        <v>1</v>
      </c>
      <c r="L3009" s="162"/>
      <c r="M3009" s="162"/>
      <c r="N3009" s="162"/>
      <c r="O3009" s="162">
        <v>1</v>
      </c>
      <c r="P3009" s="162"/>
      <c r="Q3009" s="162"/>
      <c r="R3009" s="162"/>
      <c r="S3009" s="162">
        <v>1</v>
      </c>
      <c r="T3009" s="162"/>
      <c r="U3009" s="162"/>
      <c r="V3009" s="162"/>
      <c r="W3009" s="162">
        <v>1</v>
      </c>
      <c r="X3009" s="162"/>
      <c r="Y3009" s="162"/>
      <c r="Z3009" s="162"/>
      <c r="AA3009" s="162">
        <v>2</v>
      </c>
      <c r="AB3009" s="162"/>
      <c r="AC3009" s="162"/>
      <c r="AD3009" s="162"/>
      <c r="AE3009" s="162"/>
      <c r="AF3009" s="162"/>
      <c r="AG3009" s="162">
        <v>2</v>
      </c>
      <c r="AH3009" s="162"/>
      <c r="AI3009" s="162"/>
      <c r="AJ3009" s="162"/>
      <c r="AK3009" s="162"/>
      <c r="AL3009" s="162"/>
      <c r="AM3009" s="162">
        <v>2</v>
      </c>
      <c r="AN3009" s="162">
        <v>1</v>
      </c>
      <c r="AO3009" s="162">
        <v>3</v>
      </c>
      <c r="AP3009" s="162">
        <v>1</v>
      </c>
      <c r="AQ3009" s="162">
        <v>2</v>
      </c>
      <c r="AR3009" s="162">
        <v>2</v>
      </c>
      <c r="AS3009" s="162">
        <v>2</v>
      </c>
      <c r="AT3009" s="162">
        <v>2</v>
      </c>
      <c r="AU3009" s="162">
        <v>1</v>
      </c>
      <c r="AV3009" s="162"/>
      <c r="AW3009" s="162"/>
      <c r="AX3009" s="162"/>
      <c r="AY3009" s="162"/>
      <c r="AZ3009" s="162">
        <v>1</v>
      </c>
      <c r="BA3009" s="162">
        <v>1</v>
      </c>
      <c r="BB3009" s="162">
        <v>1</v>
      </c>
      <c r="BC3009" s="162">
        <v>3</v>
      </c>
      <c r="BD3009" s="162">
        <v>1</v>
      </c>
      <c r="BE3009" s="162">
        <v>2</v>
      </c>
      <c r="BF3009" s="162"/>
      <c r="BG3009" s="162"/>
      <c r="BH3009" s="162"/>
      <c r="BI3009" s="162"/>
      <c r="BJ3009" s="162">
        <v>2</v>
      </c>
      <c r="BK3009" s="162"/>
      <c r="BL3009" s="162"/>
      <c r="BM3009" s="162"/>
      <c r="BN3009" s="162"/>
    </row>
    <row r="3010" spans="1:66" x14ac:dyDescent="0.2">
      <c r="A3010" s="57">
        <v>422</v>
      </c>
      <c r="B3010" s="162" t="s">
        <v>3655</v>
      </c>
      <c r="C3010" s="195">
        <v>44683.837407407409</v>
      </c>
      <c r="D3010" s="55">
        <v>260</v>
      </c>
      <c r="I3010" s="46" t="s">
        <v>839</v>
      </c>
      <c r="J3010" s="162">
        <v>1</v>
      </c>
      <c r="K3010" s="162">
        <v>1</v>
      </c>
      <c r="L3010" s="162"/>
      <c r="M3010" s="162"/>
      <c r="N3010" s="162"/>
      <c r="O3010" s="162">
        <v>2</v>
      </c>
      <c r="P3010" s="162"/>
      <c r="Q3010" s="162"/>
      <c r="R3010" s="162"/>
      <c r="S3010" s="162">
        <v>1</v>
      </c>
      <c r="T3010" s="162"/>
      <c r="U3010" s="162"/>
      <c r="V3010" s="162"/>
      <c r="W3010" s="162">
        <v>2</v>
      </c>
      <c r="X3010" s="162"/>
      <c r="Y3010" s="162"/>
      <c r="Z3010" s="162"/>
      <c r="AA3010" s="162">
        <v>3</v>
      </c>
      <c r="AB3010" s="162">
        <v>1</v>
      </c>
      <c r="AC3010" s="162">
        <v>1</v>
      </c>
      <c r="AD3010" s="162">
        <v>1</v>
      </c>
      <c r="AE3010" s="162">
        <v>1</v>
      </c>
      <c r="AF3010" s="162">
        <v>1</v>
      </c>
      <c r="AG3010" s="162">
        <v>3</v>
      </c>
      <c r="AH3010" s="162">
        <v>3</v>
      </c>
      <c r="AI3010" s="162">
        <v>1</v>
      </c>
      <c r="AJ3010" s="162">
        <v>1</v>
      </c>
      <c r="AK3010" s="162">
        <v>3</v>
      </c>
      <c r="AL3010" s="162">
        <v>3</v>
      </c>
      <c r="AM3010" s="162">
        <v>4</v>
      </c>
      <c r="AN3010" s="162"/>
      <c r="AO3010" s="162"/>
      <c r="AP3010" s="162"/>
      <c r="AQ3010" s="162"/>
      <c r="AR3010" s="162"/>
      <c r="AS3010" s="162">
        <v>4</v>
      </c>
      <c r="AT3010" s="162">
        <v>2</v>
      </c>
      <c r="AU3010" s="162">
        <v>2</v>
      </c>
      <c r="AV3010" s="162"/>
      <c r="AW3010" s="162"/>
      <c r="AX3010" s="162"/>
      <c r="AY3010" s="162"/>
      <c r="AZ3010" s="162">
        <v>1</v>
      </c>
      <c r="BA3010" s="162">
        <v>3</v>
      </c>
      <c r="BB3010" s="162">
        <v>3</v>
      </c>
      <c r="BC3010" s="162">
        <v>3</v>
      </c>
      <c r="BD3010" s="162">
        <v>3</v>
      </c>
      <c r="BE3010" s="162">
        <v>2</v>
      </c>
      <c r="BF3010" s="162"/>
      <c r="BG3010" s="162"/>
      <c r="BH3010" s="162"/>
      <c r="BI3010" s="162"/>
      <c r="BJ3010" s="162">
        <v>1</v>
      </c>
      <c r="BK3010" s="162"/>
      <c r="BL3010" s="162"/>
      <c r="BM3010" s="162"/>
      <c r="BN3010" s="162"/>
    </row>
    <row r="3011" spans="1:66" x14ac:dyDescent="0.2">
      <c r="A3011" s="57">
        <v>422</v>
      </c>
      <c r="B3011" s="162" t="s">
        <v>3655</v>
      </c>
      <c r="C3011" s="195">
        <v>44683.594363425924</v>
      </c>
      <c r="D3011" s="55">
        <v>260</v>
      </c>
      <c r="I3011" s="46" t="s">
        <v>839</v>
      </c>
      <c r="J3011" s="162">
        <v>1</v>
      </c>
      <c r="K3011" s="162">
        <v>1</v>
      </c>
      <c r="L3011" s="162"/>
      <c r="M3011" s="162"/>
      <c r="N3011" s="162"/>
      <c r="O3011" s="162">
        <v>1</v>
      </c>
      <c r="P3011" s="162"/>
      <c r="Q3011" s="162"/>
      <c r="R3011" s="162"/>
      <c r="S3011" s="162">
        <v>1</v>
      </c>
      <c r="T3011" s="162"/>
      <c r="U3011" s="162"/>
      <c r="V3011" s="162"/>
      <c r="W3011" s="162">
        <v>1</v>
      </c>
      <c r="X3011" s="162"/>
      <c r="Y3011" s="162"/>
      <c r="Z3011" s="162"/>
      <c r="AA3011" s="162">
        <v>1</v>
      </c>
      <c r="AB3011" s="162"/>
      <c r="AC3011" s="162"/>
      <c r="AD3011" s="162"/>
      <c r="AE3011" s="162"/>
      <c r="AF3011" s="162"/>
      <c r="AG3011" s="162">
        <v>1</v>
      </c>
      <c r="AH3011" s="162"/>
      <c r="AI3011" s="162"/>
      <c r="AJ3011" s="162"/>
      <c r="AK3011" s="162"/>
      <c r="AL3011" s="162"/>
      <c r="AM3011" s="162">
        <v>4</v>
      </c>
      <c r="AN3011" s="162"/>
      <c r="AO3011" s="162"/>
      <c r="AP3011" s="162"/>
      <c r="AQ3011" s="162"/>
      <c r="AR3011" s="162"/>
      <c r="AS3011" s="162">
        <v>4</v>
      </c>
      <c r="AT3011" s="162">
        <v>1</v>
      </c>
      <c r="AU3011" s="162">
        <v>1</v>
      </c>
      <c r="AV3011" s="162"/>
      <c r="AW3011" s="162"/>
      <c r="AX3011" s="162"/>
      <c r="AY3011" s="162"/>
      <c r="AZ3011" s="162">
        <v>1</v>
      </c>
      <c r="BA3011" s="162">
        <v>1</v>
      </c>
      <c r="BB3011" s="162">
        <v>1</v>
      </c>
      <c r="BC3011" s="162">
        <v>1</v>
      </c>
      <c r="BD3011" s="162">
        <v>1</v>
      </c>
      <c r="BE3011" s="162">
        <v>1</v>
      </c>
      <c r="BF3011" s="162"/>
      <c r="BG3011" s="162"/>
      <c r="BH3011" s="162"/>
      <c r="BI3011" s="162"/>
      <c r="BJ3011" s="162">
        <v>1</v>
      </c>
      <c r="BK3011" s="162"/>
      <c r="BL3011" s="162"/>
      <c r="BM3011" s="162"/>
      <c r="BN3011" s="162"/>
    </row>
    <row r="3012" spans="1:66" x14ac:dyDescent="0.2">
      <c r="A3012" s="57">
        <v>422</v>
      </c>
      <c r="B3012" s="162" t="s">
        <v>3655</v>
      </c>
      <c r="C3012" s="195">
        <v>44683.55027777778</v>
      </c>
      <c r="D3012" s="55">
        <v>260</v>
      </c>
      <c r="I3012" s="46" t="s">
        <v>839</v>
      </c>
      <c r="J3012" s="162">
        <v>2</v>
      </c>
      <c r="K3012" s="162">
        <v>1</v>
      </c>
      <c r="L3012" s="162"/>
      <c r="M3012" s="162"/>
      <c r="N3012" s="162"/>
      <c r="O3012" s="162">
        <v>2</v>
      </c>
      <c r="P3012" s="162"/>
      <c r="Q3012" s="162"/>
      <c r="R3012" s="162"/>
      <c r="S3012" s="162">
        <v>1</v>
      </c>
      <c r="T3012" s="162"/>
      <c r="U3012" s="162"/>
      <c r="V3012" s="162"/>
      <c r="W3012" s="162">
        <v>1</v>
      </c>
      <c r="X3012" s="162"/>
      <c r="Y3012" s="162"/>
      <c r="Z3012" s="162"/>
      <c r="AA3012" s="162">
        <v>2</v>
      </c>
      <c r="AB3012" s="162"/>
      <c r="AC3012" s="162"/>
      <c r="AD3012" s="162"/>
      <c r="AE3012" s="162"/>
      <c r="AF3012" s="162"/>
      <c r="AG3012" s="162">
        <v>3</v>
      </c>
      <c r="AH3012" s="162">
        <v>2</v>
      </c>
      <c r="AI3012" s="162">
        <v>1</v>
      </c>
      <c r="AJ3012" s="162">
        <v>1</v>
      </c>
      <c r="AK3012" s="162">
        <v>1</v>
      </c>
      <c r="AL3012" s="162">
        <v>1</v>
      </c>
      <c r="AM3012" s="162">
        <v>4</v>
      </c>
      <c r="AN3012" s="162"/>
      <c r="AO3012" s="162"/>
      <c r="AP3012" s="162"/>
      <c r="AQ3012" s="162"/>
      <c r="AR3012" s="162"/>
      <c r="AS3012" s="162">
        <v>1</v>
      </c>
      <c r="AT3012" s="162">
        <v>2</v>
      </c>
      <c r="AU3012" s="162">
        <v>2</v>
      </c>
      <c r="AV3012" s="162"/>
      <c r="AW3012" s="162"/>
      <c r="AX3012" s="162"/>
      <c r="AY3012" s="162"/>
      <c r="AZ3012" s="162">
        <v>1</v>
      </c>
      <c r="BA3012" s="162">
        <v>1</v>
      </c>
      <c r="BB3012" s="162">
        <v>1</v>
      </c>
      <c r="BC3012" s="162">
        <v>1</v>
      </c>
      <c r="BD3012" s="162">
        <v>1</v>
      </c>
      <c r="BE3012" s="162">
        <v>2</v>
      </c>
      <c r="BF3012" s="162"/>
      <c r="BG3012" s="162"/>
      <c r="BH3012" s="162"/>
      <c r="BI3012" s="162"/>
      <c r="BJ3012" s="162">
        <v>2</v>
      </c>
      <c r="BK3012" s="162"/>
      <c r="BL3012" s="162"/>
      <c r="BM3012" s="162"/>
      <c r="BN3012" s="162"/>
    </row>
    <row r="3013" spans="1:66" x14ac:dyDescent="0.2">
      <c r="A3013" s="57">
        <v>422</v>
      </c>
      <c r="B3013" s="162" t="s">
        <v>3655</v>
      </c>
      <c r="C3013" s="195">
        <v>44683.479328703703</v>
      </c>
      <c r="D3013" s="55">
        <v>260</v>
      </c>
      <c r="I3013" s="46" t="s">
        <v>839</v>
      </c>
      <c r="J3013" s="162">
        <v>1</v>
      </c>
      <c r="K3013" s="162">
        <v>1</v>
      </c>
      <c r="L3013" s="162"/>
      <c r="M3013" s="162"/>
      <c r="N3013" s="162"/>
      <c r="O3013" s="162">
        <v>1</v>
      </c>
      <c r="P3013" s="162"/>
      <c r="Q3013" s="162"/>
      <c r="R3013" s="162"/>
      <c r="S3013" s="162">
        <v>1</v>
      </c>
      <c r="T3013" s="162"/>
      <c r="U3013" s="162"/>
      <c r="V3013" s="162"/>
      <c r="W3013" s="162">
        <v>1</v>
      </c>
      <c r="X3013" s="162"/>
      <c r="Y3013" s="162"/>
      <c r="Z3013" s="162"/>
      <c r="AA3013" s="162">
        <v>1</v>
      </c>
      <c r="AB3013" s="162"/>
      <c r="AC3013" s="162"/>
      <c r="AD3013" s="162"/>
      <c r="AE3013" s="162"/>
      <c r="AF3013" s="162"/>
      <c r="AG3013" s="162">
        <v>1</v>
      </c>
      <c r="AH3013" s="162"/>
      <c r="AI3013" s="162"/>
      <c r="AJ3013" s="162"/>
      <c r="AK3013" s="162"/>
      <c r="AL3013" s="162"/>
      <c r="AM3013" s="162">
        <v>4</v>
      </c>
      <c r="AN3013" s="162"/>
      <c r="AO3013" s="162"/>
      <c r="AP3013" s="162"/>
      <c r="AQ3013" s="162"/>
      <c r="AR3013" s="162"/>
      <c r="AS3013" s="162">
        <v>4</v>
      </c>
      <c r="AT3013" s="162">
        <v>1</v>
      </c>
      <c r="AU3013" s="162">
        <v>1</v>
      </c>
      <c r="AV3013" s="162"/>
      <c r="AW3013" s="162"/>
      <c r="AX3013" s="162"/>
      <c r="AY3013" s="162"/>
      <c r="AZ3013" s="162">
        <v>1</v>
      </c>
      <c r="BA3013" s="162">
        <v>1</v>
      </c>
      <c r="BB3013" s="162">
        <v>1</v>
      </c>
      <c r="BC3013" s="162">
        <v>1</v>
      </c>
      <c r="BD3013" s="162">
        <v>1</v>
      </c>
      <c r="BE3013" s="162">
        <v>1</v>
      </c>
      <c r="BF3013" s="162"/>
      <c r="BG3013" s="162"/>
      <c r="BH3013" s="162"/>
      <c r="BI3013" s="162"/>
      <c r="BJ3013" s="162">
        <v>1</v>
      </c>
      <c r="BK3013" s="162"/>
      <c r="BL3013" s="162"/>
      <c r="BM3013" s="162"/>
      <c r="BN3013" s="162"/>
    </row>
    <row r="3014" spans="1:66" x14ac:dyDescent="0.2">
      <c r="A3014" s="57">
        <v>422</v>
      </c>
      <c r="B3014" s="162" t="s">
        <v>3655</v>
      </c>
      <c r="C3014" s="195">
        <v>44683.462280092594</v>
      </c>
      <c r="D3014" s="55">
        <v>260</v>
      </c>
      <c r="I3014" s="46" t="s">
        <v>839</v>
      </c>
      <c r="J3014" s="162">
        <v>2</v>
      </c>
      <c r="K3014" s="162">
        <v>3</v>
      </c>
      <c r="L3014" s="162">
        <v>1</v>
      </c>
      <c r="M3014" s="162">
        <v>2</v>
      </c>
      <c r="N3014" s="162">
        <v>2</v>
      </c>
      <c r="O3014" s="162">
        <v>2</v>
      </c>
      <c r="P3014" s="162"/>
      <c r="Q3014" s="162"/>
      <c r="R3014" s="162"/>
      <c r="S3014" s="162">
        <v>3</v>
      </c>
      <c r="T3014" s="162">
        <v>2</v>
      </c>
      <c r="U3014" s="162">
        <v>2</v>
      </c>
      <c r="V3014" s="162">
        <v>3</v>
      </c>
      <c r="W3014" s="162">
        <v>3</v>
      </c>
      <c r="X3014" s="162">
        <v>2</v>
      </c>
      <c r="Y3014" s="162">
        <v>2</v>
      </c>
      <c r="Z3014" s="162">
        <v>2</v>
      </c>
      <c r="AA3014" s="162">
        <v>4</v>
      </c>
      <c r="AB3014" s="162">
        <v>2</v>
      </c>
      <c r="AC3014" s="162">
        <v>2</v>
      </c>
      <c r="AD3014" s="162">
        <v>2</v>
      </c>
      <c r="AE3014" s="162">
        <v>1</v>
      </c>
      <c r="AF3014" s="162">
        <v>2</v>
      </c>
      <c r="AG3014" s="162">
        <v>3</v>
      </c>
      <c r="AH3014" s="162">
        <v>2</v>
      </c>
      <c r="AI3014" s="162">
        <v>1</v>
      </c>
      <c r="AJ3014" s="162">
        <v>2</v>
      </c>
      <c r="AK3014" s="162">
        <v>2</v>
      </c>
      <c r="AL3014" s="162">
        <v>2</v>
      </c>
      <c r="AM3014" s="162">
        <v>1</v>
      </c>
      <c r="AN3014" s="162">
        <v>2</v>
      </c>
      <c r="AO3014" s="162">
        <v>2</v>
      </c>
      <c r="AP3014" s="162">
        <v>1</v>
      </c>
      <c r="AQ3014" s="162">
        <v>1</v>
      </c>
      <c r="AR3014" s="162">
        <v>2</v>
      </c>
      <c r="AS3014" s="162">
        <v>4</v>
      </c>
      <c r="AT3014" s="162">
        <v>4</v>
      </c>
      <c r="AU3014" s="162">
        <v>1</v>
      </c>
      <c r="AV3014" s="162"/>
      <c r="AW3014" s="162"/>
      <c r="AX3014" s="162"/>
      <c r="AY3014" s="162"/>
      <c r="AZ3014" s="162">
        <v>1</v>
      </c>
      <c r="BA3014" s="162">
        <v>1</v>
      </c>
      <c r="BB3014" s="162">
        <v>1</v>
      </c>
      <c r="BC3014" s="162">
        <v>1</v>
      </c>
      <c r="BD3014" s="162">
        <v>1</v>
      </c>
      <c r="BE3014" s="162">
        <v>4</v>
      </c>
      <c r="BF3014" s="162">
        <v>2</v>
      </c>
      <c r="BG3014" s="162">
        <v>2</v>
      </c>
      <c r="BH3014" s="162">
        <v>1</v>
      </c>
      <c r="BI3014" s="162">
        <v>3</v>
      </c>
      <c r="BJ3014" s="162">
        <v>2</v>
      </c>
      <c r="BK3014" s="162"/>
      <c r="BL3014" s="162"/>
      <c r="BM3014" s="162"/>
      <c r="BN3014" s="162"/>
    </row>
    <row r="3015" spans="1:66" x14ac:dyDescent="0.2">
      <c r="A3015" s="57">
        <v>422</v>
      </c>
      <c r="B3015" s="162" t="s">
        <v>3655</v>
      </c>
      <c r="C3015" s="195">
        <v>44683.325324074074</v>
      </c>
      <c r="D3015" s="55">
        <v>260</v>
      </c>
      <c r="I3015" s="46" t="s">
        <v>839</v>
      </c>
      <c r="J3015" s="162">
        <v>1</v>
      </c>
      <c r="K3015" s="162">
        <v>1</v>
      </c>
      <c r="L3015" s="162"/>
      <c r="M3015" s="162"/>
      <c r="N3015" s="162"/>
      <c r="O3015" s="162">
        <v>1</v>
      </c>
      <c r="P3015" s="162"/>
      <c r="Q3015" s="162"/>
      <c r="R3015" s="162"/>
      <c r="S3015" s="162">
        <v>1</v>
      </c>
      <c r="T3015" s="162"/>
      <c r="U3015" s="162"/>
      <c r="V3015" s="162"/>
      <c r="W3015" s="162">
        <v>1</v>
      </c>
      <c r="X3015" s="162"/>
      <c r="Y3015" s="162"/>
      <c r="Z3015" s="162"/>
      <c r="AA3015" s="162">
        <v>1</v>
      </c>
      <c r="AB3015" s="162"/>
      <c r="AC3015" s="162"/>
      <c r="AD3015" s="162"/>
      <c r="AE3015" s="162"/>
      <c r="AF3015" s="162"/>
      <c r="AG3015" s="162">
        <v>1</v>
      </c>
      <c r="AH3015" s="162"/>
      <c r="AI3015" s="162"/>
      <c r="AJ3015" s="162"/>
      <c r="AK3015" s="162"/>
      <c r="AL3015" s="162"/>
      <c r="AM3015" s="162">
        <v>4</v>
      </c>
      <c r="AN3015" s="162"/>
      <c r="AO3015" s="162"/>
      <c r="AP3015" s="162"/>
      <c r="AQ3015" s="162"/>
      <c r="AR3015" s="162"/>
      <c r="AS3015" s="162">
        <v>4</v>
      </c>
      <c r="AT3015" s="162">
        <v>1</v>
      </c>
      <c r="AU3015" s="162">
        <v>1</v>
      </c>
      <c r="AV3015" s="162"/>
      <c r="AW3015" s="162"/>
      <c r="AX3015" s="162"/>
      <c r="AY3015" s="162"/>
      <c r="AZ3015" s="162">
        <v>1</v>
      </c>
      <c r="BA3015" s="162">
        <v>1</v>
      </c>
      <c r="BB3015" s="162">
        <v>1</v>
      </c>
      <c r="BC3015" s="162">
        <v>1</v>
      </c>
      <c r="BD3015" s="162">
        <v>1</v>
      </c>
      <c r="BE3015" s="162">
        <v>1</v>
      </c>
      <c r="BF3015" s="162"/>
      <c r="BG3015" s="162"/>
      <c r="BH3015" s="162"/>
      <c r="BI3015" s="162"/>
      <c r="BJ3015" s="162">
        <v>1</v>
      </c>
      <c r="BK3015" s="162"/>
      <c r="BL3015" s="162"/>
      <c r="BM3015" s="162"/>
      <c r="BN3015" s="162"/>
    </row>
    <row r="3016" spans="1:66" x14ac:dyDescent="0.2">
      <c r="A3016" s="57">
        <v>422</v>
      </c>
      <c r="B3016" s="162" t="s">
        <v>3655</v>
      </c>
      <c r="C3016" s="195">
        <v>44683.307083333333</v>
      </c>
      <c r="D3016" s="55">
        <v>260</v>
      </c>
      <c r="I3016" s="46" t="s">
        <v>839</v>
      </c>
      <c r="J3016" s="162">
        <v>1</v>
      </c>
      <c r="K3016" s="162">
        <v>1</v>
      </c>
      <c r="L3016" s="162"/>
      <c r="M3016" s="162"/>
      <c r="N3016" s="162"/>
      <c r="O3016" s="162">
        <v>1</v>
      </c>
      <c r="P3016" s="162"/>
      <c r="Q3016" s="162"/>
      <c r="R3016" s="162"/>
      <c r="S3016" s="162">
        <v>1</v>
      </c>
      <c r="T3016" s="162"/>
      <c r="U3016" s="162"/>
      <c r="V3016" s="162"/>
      <c r="W3016" s="162">
        <v>1</v>
      </c>
      <c r="X3016" s="162"/>
      <c r="Y3016" s="162"/>
      <c r="Z3016" s="162"/>
      <c r="AA3016" s="162">
        <v>1</v>
      </c>
      <c r="AB3016" s="162"/>
      <c r="AC3016" s="162"/>
      <c r="AD3016" s="162"/>
      <c r="AE3016" s="162"/>
      <c r="AF3016" s="162"/>
      <c r="AG3016" s="162">
        <v>1</v>
      </c>
      <c r="AH3016" s="162"/>
      <c r="AI3016" s="162"/>
      <c r="AJ3016" s="162"/>
      <c r="AK3016" s="162"/>
      <c r="AL3016" s="162"/>
      <c r="AM3016" s="162">
        <v>4</v>
      </c>
      <c r="AN3016" s="162"/>
      <c r="AO3016" s="162"/>
      <c r="AP3016" s="162"/>
      <c r="AQ3016" s="162"/>
      <c r="AR3016" s="162"/>
      <c r="AS3016" s="162">
        <v>4</v>
      </c>
      <c r="AT3016" s="162">
        <v>1</v>
      </c>
      <c r="AU3016" s="162">
        <v>1</v>
      </c>
      <c r="AV3016" s="162"/>
      <c r="AW3016" s="162"/>
      <c r="AX3016" s="162"/>
      <c r="AY3016" s="162"/>
      <c r="AZ3016" s="162">
        <v>1</v>
      </c>
      <c r="BA3016" s="162">
        <v>1</v>
      </c>
      <c r="BB3016" s="162">
        <v>1</v>
      </c>
      <c r="BC3016" s="162">
        <v>1</v>
      </c>
      <c r="BD3016" s="162">
        <v>1</v>
      </c>
      <c r="BE3016" s="162">
        <v>1</v>
      </c>
      <c r="BF3016" s="162"/>
      <c r="BG3016" s="162"/>
      <c r="BH3016" s="162"/>
      <c r="BI3016" s="162"/>
      <c r="BJ3016" s="162">
        <v>1</v>
      </c>
      <c r="BK3016" s="162"/>
      <c r="BL3016" s="162"/>
      <c r="BM3016" s="162"/>
      <c r="BN3016" s="162"/>
    </row>
    <row r="3017" spans="1:66" x14ac:dyDescent="0.2">
      <c r="A3017" s="57">
        <v>422</v>
      </c>
      <c r="B3017" s="162" t="s">
        <v>3655</v>
      </c>
      <c r="C3017" s="195">
        <v>44683.271111111113</v>
      </c>
      <c r="D3017" s="55">
        <v>260</v>
      </c>
      <c r="I3017" s="46" t="s">
        <v>839</v>
      </c>
      <c r="J3017" s="162">
        <v>1</v>
      </c>
      <c r="K3017" s="162">
        <v>1</v>
      </c>
      <c r="L3017" s="162"/>
      <c r="M3017" s="162"/>
      <c r="N3017" s="162"/>
      <c r="O3017" s="162">
        <v>1</v>
      </c>
      <c r="P3017" s="162"/>
      <c r="Q3017" s="162"/>
      <c r="R3017" s="162"/>
      <c r="S3017" s="162">
        <v>1</v>
      </c>
      <c r="T3017" s="162"/>
      <c r="U3017" s="162"/>
      <c r="V3017" s="162"/>
      <c r="W3017" s="162">
        <v>1</v>
      </c>
      <c r="X3017" s="162"/>
      <c r="Y3017" s="162"/>
      <c r="Z3017" s="162"/>
      <c r="AA3017" s="162">
        <v>1</v>
      </c>
      <c r="AB3017" s="162"/>
      <c r="AC3017" s="162"/>
      <c r="AD3017" s="162"/>
      <c r="AE3017" s="162"/>
      <c r="AF3017" s="162"/>
      <c r="AG3017" s="162">
        <v>1</v>
      </c>
      <c r="AH3017" s="162"/>
      <c r="AI3017" s="162"/>
      <c r="AJ3017" s="162"/>
      <c r="AK3017" s="162"/>
      <c r="AL3017" s="162"/>
      <c r="AM3017" s="162">
        <v>4</v>
      </c>
      <c r="AN3017" s="162"/>
      <c r="AO3017" s="162"/>
      <c r="AP3017" s="162"/>
      <c r="AQ3017" s="162"/>
      <c r="AR3017" s="162"/>
      <c r="AS3017" s="162">
        <v>4</v>
      </c>
      <c r="AT3017" s="162">
        <v>1</v>
      </c>
      <c r="AU3017" s="162">
        <v>1</v>
      </c>
      <c r="AV3017" s="162"/>
      <c r="AW3017" s="162"/>
      <c r="AX3017" s="162"/>
      <c r="AY3017" s="162"/>
      <c r="AZ3017" s="162">
        <v>1</v>
      </c>
      <c r="BA3017" s="162">
        <v>1</v>
      </c>
      <c r="BB3017" s="162">
        <v>1</v>
      </c>
      <c r="BC3017" s="162">
        <v>1</v>
      </c>
      <c r="BD3017" s="162">
        <v>1</v>
      </c>
      <c r="BE3017" s="162">
        <v>1</v>
      </c>
      <c r="BF3017" s="162"/>
      <c r="BG3017" s="162"/>
      <c r="BH3017" s="162"/>
      <c r="BI3017" s="162"/>
      <c r="BJ3017" s="162">
        <v>1</v>
      </c>
      <c r="BK3017" s="162"/>
      <c r="BL3017" s="162"/>
      <c r="BM3017" s="162"/>
      <c r="BN3017" s="162"/>
    </row>
    <row r="3018" spans="1:66" x14ac:dyDescent="0.2">
      <c r="A3018" s="57">
        <v>422</v>
      </c>
      <c r="B3018" s="162" t="s">
        <v>3655</v>
      </c>
      <c r="C3018" s="195">
        <v>44682.897986111115</v>
      </c>
      <c r="D3018" s="55">
        <v>260</v>
      </c>
      <c r="I3018" s="46" t="s">
        <v>839</v>
      </c>
      <c r="J3018" s="162">
        <v>1</v>
      </c>
      <c r="K3018" s="162">
        <v>1</v>
      </c>
      <c r="L3018" s="162"/>
      <c r="M3018" s="162"/>
      <c r="N3018" s="162"/>
      <c r="O3018" s="162">
        <v>1</v>
      </c>
      <c r="P3018" s="162"/>
      <c r="Q3018" s="162"/>
      <c r="R3018" s="162"/>
      <c r="S3018" s="162">
        <v>1</v>
      </c>
      <c r="T3018" s="162"/>
      <c r="U3018" s="162"/>
      <c r="V3018" s="162"/>
      <c r="W3018" s="162">
        <v>1</v>
      </c>
      <c r="X3018" s="162"/>
      <c r="Y3018" s="162"/>
      <c r="Z3018" s="162"/>
      <c r="AA3018" s="162">
        <v>1</v>
      </c>
      <c r="AB3018" s="162"/>
      <c r="AC3018" s="162"/>
      <c r="AD3018" s="162"/>
      <c r="AE3018" s="162"/>
      <c r="AF3018" s="162"/>
      <c r="AG3018" s="162">
        <v>1</v>
      </c>
      <c r="AH3018" s="162"/>
      <c r="AI3018" s="162"/>
      <c r="AJ3018" s="162"/>
      <c r="AK3018" s="162"/>
      <c r="AL3018" s="162"/>
      <c r="AM3018" s="162">
        <v>4</v>
      </c>
      <c r="AN3018" s="162"/>
      <c r="AO3018" s="162"/>
      <c r="AP3018" s="162"/>
      <c r="AQ3018" s="162"/>
      <c r="AR3018" s="162"/>
      <c r="AS3018" s="162">
        <v>4</v>
      </c>
      <c r="AT3018" s="162">
        <v>1</v>
      </c>
      <c r="AU3018" s="162">
        <v>1</v>
      </c>
      <c r="AV3018" s="162"/>
      <c r="AW3018" s="162"/>
      <c r="AX3018" s="162"/>
      <c r="AY3018" s="162"/>
      <c r="AZ3018" s="162">
        <v>1</v>
      </c>
      <c r="BA3018" s="162">
        <v>2</v>
      </c>
      <c r="BB3018" s="162">
        <v>1</v>
      </c>
      <c r="BC3018" s="162">
        <v>1</v>
      </c>
      <c r="BD3018" s="162">
        <v>1</v>
      </c>
      <c r="BE3018" s="162">
        <v>2</v>
      </c>
      <c r="BF3018" s="162"/>
      <c r="BG3018" s="162"/>
      <c r="BH3018" s="162"/>
      <c r="BI3018" s="162"/>
      <c r="BJ3018" s="162">
        <v>1</v>
      </c>
      <c r="BK3018" s="162"/>
      <c r="BL3018" s="162"/>
      <c r="BM3018" s="162"/>
      <c r="BN3018" s="162"/>
    </row>
    <row r="3019" spans="1:66" x14ac:dyDescent="0.2">
      <c r="A3019" s="57">
        <v>422</v>
      </c>
      <c r="B3019" s="162" t="s">
        <v>3655</v>
      </c>
      <c r="C3019" s="195">
        <v>44682.851527777777</v>
      </c>
      <c r="D3019" s="55">
        <v>260</v>
      </c>
      <c r="I3019" s="46" t="s">
        <v>839</v>
      </c>
      <c r="J3019" s="162">
        <v>1</v>
      </c>
      <c r="K3019" s="162">
        <v>1</v>
      </c>
      <c r="L3019" s="162"/>
      <c r="M3019" s="162"/>
      <c r="N3019" s="162"/>
      <c r="O3019" s="162">
        <v>1</v>
      </c>
      <c r="P3019" s="162"/>
      <c r="Q3019" s="162"/>
      <c r="R3019" s="162"/>
      <c r="S3019" s="162">
        <v>1</v>
      </c>
      <c r="T3019" s="162"/>
      <c r="U3019" s="162"/>
      <c r="V3019" s="162"/>
      <c r="W3019" s="162">
        <v>1</v>
      </c>
      <c r="X3019" s="162"/>
      <c r="Y3019" s="162"/>
      <c r="Z3019" s="162"/>
      <c r="AA3019" s="162">
        <v>1</v>
      </c>
      <c r="AB3019" s="162"/>
      <c r="AC3019" s="162"/>
      <c r="AD3019" s="162"/>
      <c r="AE3019" s="162"/>
      <c r="AF3019" s="162"/>
      <c r="AG3019" s="162">
        <v>1</v>
      </c>
      <c r="AH3019" s="162"/>
      <c r="AI3019" s="162"/>
      <c r="AJ3019" s="162"/>
      <c r="AK3019" s="162"/>
      <c r="AL3019" s="162"/>
      <c r="AM3019" s="162">
        <v>4</v>
      </c>
      <c r="AN3019" s="162"/>
      <c r="AO3019" s="162"/>
      <c r="AP3019" s="162"/>
      <c r="AQ3019" s="162"/>
      <c r="AR3019" s="162"/>
      <c r="AS3019" s="162">
        <v>4</v>
      </c>
      <c r="AT3019" s="162">
        <v>1</v>
      </c>
      <c r="AU3019" s="162">
        <v>1</v>
      </c>
      <c r="AV3019" s="162"/>
      <c r="AW3019" s="162"/>
      <c r="AX3019" s="162"/>
      <c r="AY3019" s="162"/>
      <c r="AZ3019" s="162">
        <v>1</v>
      </c>
      <c r="BA3019" s="162">
        <v>1</v>
      </c>
      <c r="BB3019" s="162">
        <v>1</v>
      </c>
      <c r="BC3019" s="162">
        <v>1</v>
      </c>
      <c r="BD3019" s="162">
        <v>1</v>
      </c>
      <c r="BE3019" s="162">
        <v>1</v>
      </c>
      <c r="BF3019" s="162"/>
      <c r="BG3019" s="162"/>
      <c r="BH3019" s="162"/>
      <c r="BI3019" s="162"/>
      <c r="BJ3019" s="162">
        <v>1</v>
      </c>
      <c r="BK3019" s="162"/>
      <c r="BL3019" s="162"/>
      <c r="BM3019" s="162"/>
      <c r="BN3019" s="162"/>
    </row>
    <row r="3020" spans="1:66" x14ac:dyDescent="0.2">
      <c r="A3020" s="57">
        <v>422</v>
      </c>
      <c r="B3020" s="162" t="s">
        <v>3655</v>
      </c>
      <c r="C3020" s="195">
        <v>44682.801527777781</v>
      </c>
      <c r="D3020" s="55">
        <v>260</v>
      </c>
      <c r="I3020" s="46" t="s">
        <v>839</v>
      </c>
      <c r="J3020" s="162">
        <v>1</v>
      </c>
      <c r="K3020" s="162">
        <v>1</v>
      </c>
      <c r="L3020" s="162"/>
      <c r="M3020" s="162"/>
      <c r="N3020" s="162"/>
      <c r="O3020" s="162">
        <v>1</v>
      </c>
      <c r="P3020" s="162"/>
      <c r="Q3020" s="162"/>
      <c r="R3020" s="162"/>
      <c r="S3020" s="162">
        <v>1</v>
      </c>
      <c r="T3020" s="162"/>
      <c r="U3020" s="162"/>
      <c r="V3020" s="162"/>
      <c r="W3020" s="162">
        <v>1</v>
      </c>
      <c r="X3020" s="162"/>
      <c r="Y3020" s="162"/>
      <c r="Z3020" s="162"/>
      <c r="AA3020" s="162">
        <v>1</v>
      </c>
      <c r="AB3020" s="162"/>
      <c r="AC3020" s="162"/>
      <c r="AD3020" s="162"/>
      <c r="AE3020" s="162"/>
      <c r="AF3020" s="162"/>
      <c r="AG3020" s="162">
        <v>1</v>
      </c>
      <c r="AH3020" s="162"/>
      <c r="AI3020" s="162"/>
      <c r="AJ3020" s="162"/>
      <c r="AK3020" s="162"/>
      <c r="AL3020" s="162"/>
      <c r="AM3020" s="162">
        <v>4</v>
      </c>
      <c r="AN3020" s="162"/>
      <c r="AO3020" s="162"/>
      <c r="AP3020" s="162"/>
      <c r="AQ3020" s="162"/>
      <c r="AR3020" s="162"/>
      <c r="AS3020" s="162">
        <v>4</v>
      </c>
      <c r="AT3020" s="162">
        <v>1</v>
      </c>
      <c r="AU3020" s="162">
        <v>1</v>
      </c>
      <c r="AV3020" s="162"/>
      <c r="AW3020" s="162"/>
      <c r="AX3020" s="162"/>
      <c r="AY3020" s="162"/>
      <c r="AZ3020" s="162">
        <v>1</v>
      </c>
      <c r="BA3020" s="162">
        <v>4</v>
      </c>
      <c r="BB3020" s="162">
        <v>4</v>
      </c>
      <c r="BC3020" s="162">
        <v>4</v>
      </c>
      <c r="BD3020" s="162">
        <v>4</v>
      </c>
      <c r="BE3020" s="162">
        <v>5</v>
      </c>
      <c r="BF3020" s="162"/>
      <c r="BG3020" s="162"/>
      <c r="BH3020" s="162"/>
      <c r="BI3020" s="162"/>
      <c r="BJ3020" s="162">
        <v>5</v>
      </c>
      <c r="BK3020" s="162"/>
      <c r="BL3020" s="162"/>
      <c r="BM3020" s="162"/>
      <c r="BN3020" s="162"/>
    </row>
    <row r="3021" spans="1:66" x14ac:dyDescent="0.2">
      <c r="A3021" s="57">
        <v>422</v>
      </c>
      <c r="B3021" s="162" t="s">
        <v>3655</v>
      </c>
      <c r="C3021" s="195">
        <v>44682.780370370368</v>
      </c>
      <c r="D3021" s="55">
        <v>260</v>
      </c>
      <c r="I3021" s="46" t="s">
        <v>839</v>
      </c>
      <c r="J3021" s="162">
        <v>1</v>
      </c>
      <c r="K3021" s="162">
        <v>1</v>
      </c>
      <c r="L3021" s="162"/>
      <c r="M3021" s="162"/>
      <c r="N3021" s="162"/>
      <c r="O3021" s="162">
        <v>1</v>
      </c>
      <c r="P3021" s="162"/>
      <c r="Q3021" s="162"/>
      <c r="R3021" s="162"/>
      <c r="S3021" s="162">
        <v>1</v>
      </c>
      <c r="T3021" s="162"/>
      <c r="U3021" s="162"/>
      <c r="V3021" s="162"/>
      <c r="W3021" s="162">
        <v>1</v>
      </c>
      <c r="X3021" s="162"/>
      <c r="Y3021" s="162"/>
      <c r="Z3021" s="162"/>
      <c r="AA3021" s="162">
        <v>1</v>
      </c>
      <c r="AB3021" s="162"/>
      <c r="AC3021" s="162"/>
      <c r="AD3021" s="162"/>
      <c r="AE3021" s="162"/>
      <c r="AF3021" s="162"/>
      <c r="AG3021" s="162">
        <v>1</v>
      </c>
      <c r="AH3021" s="162"/>
      <c r="AI3021" s="162"/>
      <c r="AJ3021" s="162"/>
      <c r="AK3021" s="162"/>
      <c r="AL3021" s="162"/>
      <c r="AM3021" s="162">
        <v>4</v>
      </c>
      <c r="AN3021" s="162"/>
      <c r="AO3021" s="162"/>
      <c r="AP3021" s="162"/>
      <c r="AQ3021" s="162"/>
      <c r="AR3021" s="162"/>
      <c r="AS3021" s="162">
        <v>4</v>
      </c>
      <c r="AT3021" s="162">
        <v>1</v>
      </c>
      <c r="AU3021" s="162">
        <v>1</v>
      </c>
      <c r="AV3021" s="162"/>
      <c r="AW3021" s="162"/>
      <c r="AX3021" s="162"/>
      <c r="AY3021" s="162"/>
      <c r="AZ3021" s="162">
        <v>1</v>
      </c>
      <c r="BA3021" s="162">
        <v>1</v>
      </c>
      <c r="BB3021" s="162">
        <v>1</v>
      </c>
      <c r="BC3021" s="162">
        <v>1</v>
      </c>
      <c r="BD3021" s="162">
        <v>1</v>
      </c>
      <c r="BE3021" s="162">
        <v>1</v>
      </c>
      <c r="BF3021" s="162"/>
      <c r="BG3021" s="162"/>
      <c r="BH3021" s="162"/>
      <c r="BI3021" s="162"/>
      <c r="BJ3021" s="162">
        <v>1</v>
      </c>
      <c r="BK3021" s="162"/>
      <c r="BL3021" s="162"/>
      <c r="BM3021" s="162"/>
      <c r="BN3021" s="162"/>
    </row>
    <row r="3022" spans="1:66" x14ac:dyDescent="0.2">
      <c r="A3022" s="57">
        <v>422</v>
      </c>
      <c r="B3022" s="162" t="s">
        <v>3655</v>
      </c>
      <c r="C3022" s="195">
        <v>44682.755648148152</v>
      </c>
      <c r="D3022" s="55">
        <v>260</v>
      </c>
      <c r="I3022" s="46" t="s">
        <v>839</v>
      </c>
      <c r="J3022" s="162">
        <v>1</v>
      </c>
      <c r="K3022" s="162">
        <v>2</v>
      </c>
      <c r="L3022" s="162"/>
      <c r="M3022" s="162"/>
      <c r="N3022" s="162"/>
      <c r="O3022" s="162">
        <v>2</v>
      </c>
      <c r="P3022" s="162"/>
      <c r="Q3022" s="162"/>
      <c r="R3022" s="162"/>
      <c r="S3022" s="162">
        <v>1</v>
      </c>
      <c r="T3022" s="162"/>
      <c r="U3022" s="162"/>
      <c r="V3022" s="162"/>
      <c r="W3022" s="162">
        <v>2</v>
      </c>
      <c r="X3022" s="162"/>
      <c r="Y3022" s="162"/>
      <c r="Z3022" s="162"/>
      <c r="AA3022" s="162">
        <v>3</v>
      </c>
      <c r="AB3022" s="162">
        <v>1</v>
      </c>
      <c r="AC3022" s="162">
        <v>1</v>
      </c>
      <c r="AD3022" s="162">
        <v>1</v>
      </c>
      <c r="AE3022" s="162">
        <v>1</v>
      </c>
      <c r="AF3022" s="162">
        <v>1</v>
      </c>
      <c r="AG3022" s="162">
        <v>2</v>
      </c>
      <c r="AH3022" s="162"/>
      <c r="AI3022" s="162"/>
      <c r="AJ3022" s="162"/>
      <c r="AK3022" s="162"/>
      <c r="AL3022" s="162"/>
      <c r="AM3022" s="162">
        <v>4</v>
      </c>
      <c r="AN3022" s="162"/>
      <c r="AO3022" s="162"/>
      <c r="AP3022" s="162"/>
      <c r="AQ3022" s="162"/>
      <c r="AR3022" s="162"/>
      <c r="AS3022" s="162">
        <v>4</v>
      </c>
      <c r="AT3022" s="162">
        <v>1</v>
      </c>
      <c r="AU3022" s="162">
        <v>2</v>
      </c>
      <c r="AV3022" s="162"/>
      <c r="AW3022" s="162"/>
      <c r="AX3022" s="162"/>
      <c r="AY3022" s="162"/>
      <c r="AZ3022" s="162">
        <v>1</v>
      </c>
      <c r="BA3022" s="162">
        <v>1</v>
      </c>
      <c r="BB3022" s="162">
        <v>1</v>
      </c>
      <c r="BC3022" s="162">
        <v>1</v>
      </c>
      <c r="BD3022" s="162">
        <v>1</v>
      </c>
      <c r="BE3022" s="162">
        <v>1</v>
      </c>
      <c r="BF3022" s="162"/>
      <c r="BG3022" s="162"/>
      <c r="BH3022" s="162"/>
      <c r="BI3022" s="162"/>
      <c r="BJ3022" s="162">
        <v>1</v>
      </c>
      <c r="BK3022" s="162"/>
      <c r="BL3022" s="162"/>
      <c r="BM3022" s="162"/>
      <c r="BN3022" s="162"/>
    </row>
    <row r="3023" spans="1:66" x14ac:dyDescent="0.2">
      <c r="A3023" s="57">
        <v>422</v>
      </c>
      <c r="B3023" s="162" t="s">
        <v>3655</v>
      </c>
      <c r="C3023" s="195">
        <v>44682.716990740744</v>
      </c>
      <c r="D3023" s="55">
        <v>260</v>
      </c>
      <c r="I3023" s="46" t="s">
        <v>839</v>
      </c>
      <c r="J3023" s="162">
        <v>1</v>
      </c>
      <c r="K3023" s="162">
        <v>1</v>
      </c>
      <c r="L3023" s="162"/>
      <c r="M3023" s="162"/>
      <c r="N3023" s="162"/>
      <c r="O3023" s="162">
        <v>1</v>
      </c>
      <c r="P3023" s="162"/>
      <c r="Q3023" s="162"/>
      <c r="R3023" s="162"/>
      <c r="S3023" s="162">
        <v>1</v>
      </c>
      <c r="T3023" s="162"/>
      <c r="U3023" s="162"/>
      <c r="V3023" s="162"/>
      <c r="W3023" s="162">
        <v>1</v>
      </c>
      <c r="X3023" s="162"/>
      <c r="Y3023" s="162"/>
      <c r="Z3023" s="162"/>
      <c r="AA3023" s="162">
        <v>1</v>
      </c>
      <c r="AB3023" s="162"/>
      <c r="AC3023" s="162"/>
      <c r="AD3023" s="162"/>
      <c r="AE3023" s="162"/>
      <c r="AF3023" s="162"/>
      <c r="AG3023" s="162">
        <v>1</v>
      </c>
      <c r="AH3023" s="162"/>
      <c r="AI3023" s="162"/>
      <c r="AJ3023" s="162"/>
      <c r="AK3023" s="162"/>
      <c r="AL3023" s="162"/>
      <c r="AM3023" s="162">
        <v>4</v>
      </c>
      <c r="AN3023" s="162"/>
      <c r="AO3023" s="162"/>
      <c r="AP3023" s="162"/>
      <c r="AQ3023" s="162"/>
      <c r="AR3023" s="162"/>
      <c r="AS3023" s="162">
        <v>4</v>
      </c>
      <c r="AT3023" s="162">
        <v>1</v>
      </c>
      <c r="AU3023" s="162">
        <v>1</v>
      </c>
      <c r="AV3023" s="162"/>
      <c r="AW3023" s="162"/>
      <c r="AX3023" s="162"/>
      <c r="AY3023" s="162"/>
      <c r="AZ3023" s="162">
        <v>1</v>
      </c>
      <c r="BA3023" s="162">
        <v>1</v>
      </c>
      <c r="BB3023" s="162">
        <v>1</v>
      </c>
      <c r="BC3023" s="162">
        <v>1</v>
      </c>
      <c r="BD3023" s="162">
        <v>1</v>
      </c>
      <c r="BE3023" s="162">
        <v>1</v>
      </c>
      <c r="BF3023" s="162"/>
      <c r="BG3023" s="162"/>
      <c r="BH3023" s="162"/>
      <c r="BI3023" s="162"/>
      <c r="BJ3023" s="162">
        <v>1</v>
      </c>
      <c r="BK3023" s="162"/>
      <c r="BL3023" s="162"/>
      <c r="BM3023" s="162"/>
      <c r="BN3023" s="162"/>
    </row>
    <row r="3024" spans="1:66" x14ac:dyDescent="0.2">
      <c r="A3024" s="57">
        <v>422</v>
      </c>
      <c r="B3024" s="162" t="s">
        <v>3655</v>
      </c>
      <c r="C3024" s="195">
        <v>44682.710370370369</v>
      </c>
      <c r="D3024" s="55">
        <v>260</v>
      </c>
      <c r="I3024" s="46" t="s">
        <v>839</v>
      </c>
      <c r="J3024" s="162">
        <v>1</v>
      </c>
      <c r="K3024" s="162">
        <v>1</v>
      </c>
      <c r="L3024" s="162"/>
      <c r="M3024" s="162"/>
      <c r="N3024" s="162"/>
      <c r="O3024" s="162">
        <v>1</v>
      </c>
      <c r="P3024" s="162"/>
      <c r="Q3024" s="162"/>
      <c r="R3024" s="162"/>
      <c r="S3024" s="162">
        <v>1</v>
      </c>
      <c r="T3024" s="162"/>
      <c r="U3024" s="162"/>
      <c r="V3024" s="162"/>
      <c r="W3024" s="162">
        <v>1</v>
      </c>
      <c r="X3024" s="162"/>
      <c r="Y3024" s="162"/>
      <c r="Z3024" s="162"/>
      <c r="AA3024" s="162">
        <v>1</v>
      </c>
      <c r="AB3024" s="162"/>
      <c r="AC3024" s="162"/>
      <c r="AD3024" s="162"/>
      <c r="AE3024" s="162"/>
      <c r="AF3024" s="162"/>
      <c r="AG3024" s="162">
        <v>1</v>
      </c>
      <c r="AH3024" s="162"/>
      <c r="AI3024" s="162"/>
      <c r="AJ3024" s="162"/>
      <c r="AK3024" s="162"/>
      <c r="AL3024" s="162"/>
      <c r="AM3024" s="162">
        <v>1</v>
      </c>
      <c r="AN3024" s="162">
        <v>1</v>
      </c>
      <c r="AO3024" s="162">
        <v>1</v>
      </c>
      <c r="AP3024" s="162">
        <v>1</v>
      </c>
      <c r="AQ3024" s="162">
        <v>3</v>
      </c>
      <c r="AR3024" s="162">
        <v>3</v>
      </c>
      <c r="AS3024" s="162">
        <v>4</v>
      </c>
      <c r="AT3024" s="162">
        <v>1</v>
      </c>
      <c r="AU3024" s="162">
        <v>1</v>
      </c>
      <c r="AV3024" s="162"/>
      <c r="AW3024" s="162"/>
      <c r="AX3024" s="162"/>
      <c r="AY3024" s="162"/>
      <c r="AZ3024" s="162">
        <v>1</v>
      </c>
      <c r="BA3024" s="162">
        <v>1</v>
      </c>
      <c r="BB3024" s="162">
        <v>1</v>
      </c>
      <c r="BC3024" s="162">
        <v>1</v>
      </c>
      <c r="BD3024" s="162">
        <v>1</v>
      </c>
      <c r="BE3024" s="162">
        <v>1</v>
      </c>
      <c r="BF3024" s="162"/>
      <c r="BG3024" s="162"/>
      <c r="BH3024" s="162"/>
      <c r="BI3024" s="162"/>
      <c r="BJ3024" s="162">
        <v>1</v>
      </c>
      <c r="BK3024" s="162"/>
      <c r="BL3024" s="162"/>
      <c r="BM3024" s="162"/>
      <c r="BN3024" s="162"/>
    </row>
    <row r="3025" spans="1:66" x14ac:dyDescent="0.2">
      <c r="A3025" s="57">
        <v>422</v>
      </c>
      <c r="B3025" s="162" t="s">
        <v>3655</v>
      </c>
      <c r="C3025" s="195">
        <v>44682.688645833332</v>
      </c>
      <c r="D3025" s="55">
        <v>260</v>
      </c>
      <c r="I3025" s="46" t="s">
        <v>839</v>
      </c>
      <c r="J3025" s="162">
        <v>1</v>
      </c>
      <c r="K3025" s="162">
        <v>1</v>
      </c>
      <c r="L3025" s="162"/>
      <c r="M3025" s="162"/>
      <c r="N3025" s="162"/>
      <c r="O3025" s="162">
        <v>1</v>
      </c>
      <c r="P3025" s="162"/>
      <c r="Q3025" s="162"/>
      <c r="R3025" s="162"/>
      <c r="S3025" s="162">
        <v>1</v>
      </c>
      <c r="T3025" s="162"/>
      <c r="U3025" s="162"/>
      <c r="V3025" s="162"/>
      <c r="W3025" s="162">
        <v>2</v>
      </c>
      <c r="X3025" s="162"/>
      <c r="Y3025" s="162"/>
      <c r="Z3025" s="162"/>
      <c r="AA3025" s="162">
        <v>1</v>
      </c>
      <c r="AB3025" s="162"/>
      <c r="AC3025" s="162"/>
      <c r="AD3025" s="162"/>
      <c r="AE3025" s="162"/>
      <c r="AF3025" s="162"/>
      <c r="AG3025" s="162">
        <v>1</v>
      </c>
      <c r="AH3025" s="162"/>
      <c r="AI3025" s="162"/>
      <c r="AJ3025" s="162"/>
      <c r="AK3025" s="162"/>
      <c r="AL3025" s="162"/>
      <c r="AM3025" s="162">
        <v>3</v>
      </c>
      <c r="AN3025" s="162"/>
      <c r="AO3025" s="162"/>
      <c r="AP3025" s="162"/>
      <c r="AQ3025" s="162"/>
      <c r="AR3025" s="162"/>
      <c r="AS3025" s="162">
        <v>4</v>
      </c>
      <c r="AT3025" s="162">
        <v>1</v>
      </c>
      <c r="AU3025" s="162">
        <v>2</v>
      </c>
      <c r="AV3025" s="162"/>
      <c r="AW3025" s="162"/>
      <c r="AX3025" s="162"/>
      <c r="AY3025" s="162"/>
      <c r="AZ3025" s="162">
        <v>1</v>
      </c>
      <c r="BA3025" s="162">
        <v>2</v>
      </c>
      <c r="BB3025" s="162">
        <v>2</v>
      </c>
      <c r="BC3025" s="162">
        <v>1</v>
      </c>
      <c r="BD3025" s="162">
        <v>1</v>
      </c>
      <c r="BE3025" s="162">
        <v>1</v>
      </c>
      <c r="BF3025" s="162"/>
      <c r="BG3025" s="162"/>
      <c r="BH3025" s="162"/>
      <c r="BI3025" s="162"/>
      <c r="BJ3025" s="162">
        <v>1</v>
      </c>
      <c r="BK3025" s="162"/>
      <c r="BL3025" s="162"/>
      <c r="BM3025" s="162"/>
      <c r="BN3025" s="162"/>
    </row>
    <row r="3026" spans="1:66" x14ac:dyDescent="0.2">
      <c r="A3026" s="57">
        <v>422</v>
      </c>
      <c r="B3026" s="162" t="s">
        <v>3655</v>
      </c>
      <c r="C3026" s="195">
        <v>44682.669606481482</v>
      </c>
      <c r="D3026" s="55">
        <v>260</v>
      </c>
      <c r="I3026" s="46" t="s">
        <v>839</v>
      </c>
      <c r="J3026" s="162">
        <v>1</v>
      </c>
      <c r="K3026" s="162">
        <v>1</v>
      </c>
      <c r="L3026" s="162"/>
      <c r="M3026" s="162"/>
      <c r="N3026" s="162"/>
      <c r="O3026" s="162">
        <v>1</v>
      </c>
      <c r="P3026" s="162"/>
      <c r="Q3026" s="162"/>
      <c r="R3026" s="162"/>
      <c r="S3026" s="162">
        <v>1</v>
      </c>
      <c r="T3026" s="162"/>
      <c r="U3026" s="162"/>
      <c r="V3026" s="162"/>
      <c r="W3026" s="162">
        <v>1</v>
      </c>
      <c r="X3026" s="162"/>
      <c r="Y3026" s="162"/>
      <c r="Z3026" s="162"/>
      <c r="AA3026" s="162">
        <v>1</v>
      </c>
      <c r="AB3026" s="162"/>
      <c r="AC3026" s="162"/>
      <c r="AD3026" s="162"/>
      <c r="AE3026" s="162"/>
      <c r="AF3026" s="162"/>
      <c r="AG3026" s="162">
        <v>1</v>
      </c>
      <c r="AH3026" s="162"/>
      <c r="AI3026" s="162"/>
      <c r="AJ3026" s="162"/>
      <c r="AK3026" s="162"/>
      <c r="AL3026" s="162"/>
      <c r="AM3026" s="162">
        <v>4</v>
      </c>
      <c r="AN3026" s="162"/>
      <c r="AO3026" s="162"/>
      <c r="AP3026" s="162"/>
      <c r="AQ3026" s="162"/>
      <c r="AR3026" s="162"/>
      <c r="AS3026" s="162">
        <v>4</v>
      </c>
      <c r="AT3026" s="162">
        <v>1</v>
      </c>
      <c r="AU3026" s="162">
        <v>1</v>
      </c>
      <c r="AV3026" s="162"/>
      <c r="AW3026" s="162"/>
      <c r="AX3026" s="162"/>
      <c r="AY3026" s="162"/>
      <c r="AZ3026" s="162">
        <v>1</v>
      </c>
      <c r="BA3026" s="162">
        <v>1</v>
      </c>
      <c r="BB3026" s="162">
        <v>1</v>
      </c>
      <c r="BC3026" s="162">
        <v>1</v>
      </c>
      <c r="BD3026" s="162">
        <v>1</v>
      </c>
      <c r="BE3026" s="162">
        <v>1</v>
      </c>
      <c r="BF3026" s="162"/>
      <c r="BG3026" s="162"/>
      <c r="BH3026" s="162"/>
      <c r="BI3026" s="162"/>
      <c r="BJ3026" s="162">
        <v>1</v>
      </c>
      <c r="BK3026" s="162"/>
      <c r="BL3026" s="162"/>
      <c r="BM3026" s="162"/>
      <c r="BN3026" s="162"/>
    </row>
    <row r="3027" spans="1:66" x14ac:dyDescent="0.2">
      <c r="A3027" s="57">
        <v>422</v>
      </c>
      <c r="B3027" s="162" t="s">
        <v>3655</v>
      </c>
      <c r="C3027" s="195">
        <v>44682.668692129628</v>
      </c>
      <c r="D3027" s="55">
        <v>260</v>
      </c>
      <c r="I3027" s="46" t="s">
        <v>839</v>
      </c>
      <c r="J3027" s="162">
        <v>1</v>
      </c>
      <c r="K3027" s="162">
        <v>1</v>
      </c>
      <c r="L3027" s="162"/>
      <c r="M3027" s="162"/>
      <c r="N3027" s="162"/>
      <c r="O3027" s="162">
        <v>1</v>
      </c>
      <c r="P3027" s="162"/>
      <c r="Q3027" s="162"/>
      <c r="R3027" s="162"/>
      <c r="S3027" s="162">
        <v>1</v>
      </c>
      <c r="T3027" s="162"/>
      <c r="U3027" s="162"/>
      <c r="V3027" s="162"/>
      <c r="W3027" s="162">
        <v>1</v>
      </c>
      <c r="X3027" s="162"/>
      <c r="Y3027" s="162"/>
      <c r="Z3027" s="162"/>
      <c r="AA3027" s="162">
        <v>1</v>
      </c>
      <c r="AB3027" s="162"/>
      <c r="AC3027" s="162"/>
      <c r="AD3027" s="162"/>
      <c r="AE3027" s="162"/>
      <c r="AF3027" s="162"/>
      <c r="AG3027" s="162">
        <v>1</v>
      </c>
      <c r="AH3027" s="162"/>
      <c r="AI3027" s="162"/>
      <c r="AJ3027" s="162"/>
      <c r="AK3027" s="162"/>
      <c r="AL3027" s="162"/>
      <c r="AM3027" s="162">
        <v>4</v>
      </c>
      <c r="AN3027" s="162"/>
      <c r="AO3027" s="162"/>
      <c r="AP3027" s="162"/>
      <c r="AQ3027" s="162"/>
      <c r="AR3027" s="162"/>
      <c r="AS3027" s="162">
        <v>4</v>
      </c>
      <c r="AT3027" s="162">
        <v>1</v>
      </c>
      <c r="AU3027" s="162">
        <v>1</v>
      </c>
      <c r="AV3027" s="162"/>
      <c r="AW3027" s="162"/>
      <c r="AX3027" s="162"/>
      <c r="AY3027" s="162"/>
      <c r="AZ3027" s="162">
        <v>1</v>
      </c>
      <c r="BA3027" s="162">
        <v>1</v>
      </c>
      <c r="BB3027" s="162">
        <v>1</v>
      </c>
      <c r="BC3027" s="162">
        <v>1</v>
      </c>
      <c r="BD3027" s="162">
        <v>1</v>
      </c>
      <c r="BE3027" s="162">
        <v>1</v>
      </c>
      <c r="BF3027" s="162"/>
      <c r="BG3027" s="162"/>
      <c r="BH3027" s="162"/>
      <c r="BI3027" s="162"/>
      <c r="BJ3027" s="162">
        <v>1</v>
      </c>
      <c r="BK3027" s="162"/>
      <c r="BL3027" s="162"/>
      <c r="BM3027" s="162"/>
      <c r="BN3027" s="162"/>
    </row>
    <row r="3028" spans="1:66" x14ac:dyDescent="0.2">
      <c r="A3028" s="57">
        <v>422</v>
      </c>
      <c r="B3028" s="162" t="s">
        <v>3655</v>
      </c>
      <c r="C3028" s="195">
        <v>44682.663587962961</v>
      </c>
      <c r="D3028" s="55">
        <v>260</v>
      </c>
      <c r="I3028" s="46" t="s">
        <v>839</v>
      </c>
      <c r="J3028" s="162">
        <v>1</v>
      </c>
      <c r="K3028" s="162">
        <v>1</v>
      </c>
      <c r="L3028" s="162"/>
      <c r="M3028" s="162"/>
      <c r="N3028" s="162"/>
      <c r="O3028" s="162">
        <v>1</v>
      </c>
      <c r="P3028" s="162"/>
      <c r="Q3028" s="162"/>
      <c r="R3028" s="162"/>
      <c r="S3028" s="162">
        <v>1</v>
      </c>
      <c r="T3028" s="162"/>
      <c r="U3028" s="162"/>
      <c r="V3028" s="162"/>
      <c r="W3028" s="162">
        <v>1</v>
      </c>
      <c r="X3028" s="162"/>
      <c r="Y3028" s="162"/>
      <c r="Z3028" s="162"/>
      <c r="AA3028" s="162">
        <v>1</v>
      </c>
      <c r="AB3028" s="162"/>
      <c r="AC3028" s="162"/>
      <c r="AD3028" s="162"/>
      <c r="AE3028" s="162"/>
      <c r="AF3028" s="162"/>
      <c r="AG3028" s="162">
        <v>1</v>
      </c>
      <c r="AH3028" s="162"/>
      <c r="AI3028" s="162"/>
      <c r="AJ3028" s="162"/>
      <c r="AK3028" s="162"/>
      <c r="AL3028" s="162"/>
      <c r="AM3028" s="162">
        <v>2</v>
      </c>
      <c r="AN3028" s="162">
        <v>3</v>
      </c>
      <c r="AO3028" s="162">
        <v>3</v>
      </c>
      <c r="AP3028" s="162">
        <v>1</v>
      </c>
      <c r="AQ3028" s="162">
        <v>3</v>
      </c>
      <c r="AR3028" s="162">
        <v>3</v>
      </c>
      <c r="AS3028" s="162">
        <v>4</v>
      </c>
      <c r="AT3028" s="162">
        <v>1</v>
      </c>
      <c r="AU3028" s="162">
        <v>1</v>
      </c>
      <c r="AV3028" s="162"/>
      <c r="AW3028" s="162"/>
      <c r="AX3028" s="162"/>
      <c r="AY3028" s="162"/>
      <c r="AZ3028" s="162">
        <v>1</v>
      </c>
      <c r="BA3028" s="162">
        <v>1</v>
      </c>
      <c r="BB3028" s="162">
        <v>1</v>
      </c>
      <c r="BC3028" s="162">
        <v>1</v>
      </c>
      <c r="BD3028" s="162">
        <v>1</v>
      </c>
      <c r="BE3028" s="162">
        <v>1</v>
      </c>
      <c r="BF3028" s="162"/>
      <c r="BG3028" s="162"/>
      <c r="BH3028" s="162"/>
      <c r="BI3028" s="162"/>
      <c r="BJ3028" s="162">
        <v>1</v>
      </c>
      <c r="BK3028" s="162"/>
      <c r="BL3028" s="162"/>
      <c r="BM3028" s="162"/>
      <c r="BN3028" s="162"/>
    </row>
    <row r="3029" spans="1:66" x14ac:dyDescent="0.2">
      <c r="A3029" s="57">
        <v>422</v>
      </c>
      <c r="B3029" s="162" t="s">
        <v>3655</v>
      </c>
      <c r="C3029" s="195">
        <v>44682.644201388888</v>
      </c>
      <c r="D3029" s="55">
        <v>260</v>
      </c>
      <c r="I3029" s="46" t="s">
        <v>839</v>
      </c>
      <c r="J3029" s="162">
        <v>4</v>
      </c>
      <c r="K3029" s="162">
        <v>4</v>
      </c>
      <c r="L3029" s="162">
        <v>2</v>
      </c>
      <c r="M3029" s="162">
        <v>2</v>
      </c>
      <c r="N3029" s="162">
        <v>2</v>
      </c>
      <c r="O3029" s="162">
        <v>4</v>
      </c>
      <c r="P3029" s="162">
        <v>3</v>
      </c>
      <c r="Q3029" s="162">
        <v>1</v>
      </c>
      <c r="R3029" s="162">
        <v>2</v>
      </c>
      <c r="S3029" s="162">
        <v>2</v>
      </c>
      <c r="T3029" s="162"/>
      <c r="U3029" s="162"/>
      <c r="V3029" s="162"/>
      <c r="W3029" s="162">
        <v>4</v>
      </c>
      <c r="X3029" s="162">
        <v>1</v>
      </c>
      <c r="Y3029" s="162">
        <v>2</v>
      </c>
      <c r="Z3029" s="162">
        <v>1</v>
      </c>
      <c r="AA3029" s="162">
        <v>4</v>
      </c>
      <c r="AB3029" s="162">
        <v>1</v>
      </c>
      <c r="AC3029" s="162">
        <v>1</v>
      </c>
      <c r="AD3029" s="162">
        <v>1</v>
      </c>
      <c r="AE3029" s="162">
        <v>2</v>
      </c>
      <c r="AF3029" s="162">
        <v>2</v>
      </c>
      <c r="AG3029" s="162">
        <v>3</v>
      </c>
      <c r="AH3029" s="162">
        <v>2</v>
      </c>
      <c r="AI3029" s="162">
        <v>3</v>
      </c>
      <c r="AJ3029" s="162">
        <v>1</v>
      </c>
      <c r="AK3029" s="162">
        <v>3</v>
      </c>
      <c r="AL3029" s="162">
        <v>2</v>
      </c>
      <c r="AM3029" s="162">
        <v>1</v>
      </c>
      <c r="AN3029" s="162">
        <v>1</v>
      </c>
      <c r="AO3029" s="162">
        <v>1</v>
      </c>
      <c r="AP3029" s="162">
        <v>1</v>
      </c>
      <c r="AQ3029" s="162">
        <v>3</v>
      </c>
      <c r="AR3029" s="162">
        <v>3</v>
      </c>
      <c r="AS3029" s="162">
        <v>4</v>
      </c>
      <c r="AT3029" s="162">
        <v>4</v>
      </c>
      <c r="AU3029" s="162">
        <v>1</v>
      </c>
      <c r="AV3029" s="162"/>
      <c r="AW3029" s="162"/>
      <c r="AX3029" s="162"/>
      <c r="AY3029" s="162"/>
      <c r="AZ3029" s="162">
        <v>2</v>
      </c>
      <c r="BA3029" s="162">
        <v>3</v>
      </c>
      <c r="BB3029" s="162">
        <v>2</v>
      </c>
      <c r="BC3029" s="162">
        <v>2</v>
      </c>
      <c r="BD3029" s="162">
        <v>1</v>
      </c>
      <c r="BE3029" s="162">
        <v>4</v>
      </c>
      <c r="BF3029" s="162">
        <v>2</v>
      </c>
      <c r="BG3029" s="162">
        <v>1</v>
      </c>
      <c r="BH3029" s="162">
        <v>2</v>
      </c>
      <c r="BI3029" s="162">
        <v>2</v>
      </c>
      <c r="BJ3029" s="162">
        <v>1</v>
      </c>
      <c r="BK3029" s="162"/>
      <c r="BL3029" s="162"/>
      <c r="BM3029" s="162"/>
      <c r="BN3029" s="162"/>
    </row>
    <row r="3030" spans="1:66" x14ac:dyDescent="0.2">
      <c r="A3030" s="57">
        <v>322</v>
      </c>
      <c r="B3030" s="162" t="s">
        <v>3655</v>
      </c>
      <c r="C3030" s="195">
        <v>44671.674664351849</v>
      </c>
      <c r="D3030" s="55">
        <v>260</v>
      </c>
      <c r="I3030" s="46" t="s">
        <v>839</v>
      </c>
      <c r="J3030" s="162">
        <v>2</v>
      </c>
      <c r="K3030" s="162">
        <v>2</v>
      </c>
      <c r="L3030" s="162"/>
      <c r="M3030" s="162"/>
      <c r="N3030" s="162"/>
      <c r="O3030" s="162">
        <v>1</v>
      </c>
      <c r="P3030" s="162"/>
      <c r="Q3030" s="162"/>
      <c r="R3030" s="162"/>
      <c r="S3030" s="162">
        <v>1</v>
      </c>
      <c r="T3030" s="162"/>
      <c r="U3030" s="162"/>
      <c r="V3030" s="162"/>
      <c r="W3030" s="162">
        <v>1</v>
      </c>
      <c r="X3030" s="162"/>
      <c r="Y3030" s="162"/>
      <c r="Z3030" s="162"/>
      <c r="AA3030" s="162">
        <v>1</v>
      </c>
      <c r="AB3030" s="162"/>
      <c r="AC3030" s="162"/>
      <c r="AD3030" s="162"/>
      <c r="AE3030" s="162"/>
      <c r="AF3030" s="162"/>
      <c r="AG3030" s="162">
        <v>1</v>
      </c>
      <c r="AH3030" s="162"/>
      <c r="AI3030" s="162"/>
      <c r="AJ3030" s="162"/>
      <c r="AK3030" s="162"/>
      <c r="AL3030" s="162"/>
      <c r="AM3030" s="162">
        <v>1</v>
      </c>
      <c r="AN3030" s="162">
        <v>1</v>
      </c>
      <c r="AO3030" s="162">
        <v>1</v>
      </c>
      <c r="AP3030" s="162">
        <v>1</v>
      </c>
      <c r="AQ3030" s="162">
        <v>1</v>
      </c>
      <c r="AR3030" s="162">
        <v>1</v>
      </c>
      <c r="AS3030" s="162">
        <v>1</v>
      </c>
      <c r="AT3030" s="162">
        <v>5</v>
      </c>
      <c r="AU3030" s="162">
        <v>5</v>
      </c>
      <c r="AV3030" s="162"/>
      <c r="AW3030" s="162"/>
      <c r="AX3030" s="162"/>
      <c r="AY3030" s="162"/>
      <c r="AZ3030" s="162">
        <v>5</v>
      </c>
      <c r="BA3030" s="162">
        <v>4</v>
      </c>
      <c r="BB3030" s="162">
        <v>4</v>
      </c>
      <c r="BC3030" s="162">
        <v>4</v>
      </c>
      <c r="BD3030" s="162">
        <v>4</v>
      </c>
      <c r="BE3030" s="162">
        <v>5</v>
      </c>
      <c r="BF3030" s="162"/>
      <c r="BG3030" s="162"/>
      <c r="BH3030" s="162"/>
      <c r="BI3030" s="162"/>
      <c r="BJ3030" s="162">
        <v>5</v>
      </c>
      <c r="BK3030" s="162"/>
      <c r="BL3030" s="162"/>
      <c r="BM3030" s="162"/>
      <c r="BN3030" s="162"/>
    </row>
    <row r="3031" spans="1:66" x14ac:dyDescent="0.2">
      <c r="A3031" s="57">
        <v>622</v>
      </c>
      <c r="B3031" s="162" t="s">
        <v>3655</v>
      </c>
      <c r="C3031" s="195">
        <v>44751.549988425926</v>
      </c>
      <c r="D3031" s="55">
        <v>280</v>
      </c>
      <c r="I3031" s="46" t="s">
        <v>839</v>
      </c>
      <c r="J3031" s="162">
        <v>2</v>
      </c>
      <c r="K3031" s="162">
        <v>2</v>
      </c>
      <c r="L3031" s="162"/>
      <c r="M3031" s="162"/>
      <c r="N3031" s="162"/>
      <c r="O3031" s="162">
        <v>2</v>
      </c>
      <c r="P3031" s="162"/>
      <c r="Q3031" s="162"/>
      <c r="R3031" s="162"/>
      <c r="S3031" s="162">
        <v>2</v>
      </c>
      <c r="T3031" s="162"/>
      <c r="U3031" s="162"/>
      <c r="V3031" s="162"/>
      <c r="W3031" s="162">
        <v>2</v>
      </c>
      <c r="X3031" s="162"/>
      <c r="Y3031" s="162"/>
      <c r="Z3031" s="162"/>
      <c r="AA3031" s="162">
        <v>2</v>
      </c>
      <c r="AB3031" s="162"/>
      <c r="AC3031" s="162"/>
      <c r="AD3031" s="162"/>
      <c r="AE3031" s="162"/>
      <c r="AF3031" s="162"/>
      <c r="AG3031" s="162">
        <v>2</v>
      </c>
      <c r="AH3031" s="162"/>
      <c r="AI3031" s="162"/>
      <c r="AJ3031" s="162"/>
      <c r="AK3031" s="162"/>
      <c r="AL3031" s="162"/>
      <c r="AM3031" s="162">
        <v>1</v>
      </c>
      <c r="AN3031" s="162">
        <v>1</v>
      </c>
      <c r="AO3031" s="162">
        <v>1</v>
      </c>
      <c r="AP3031" s="162">
        <v>1</v>
      </c>
      <c r="AQ3031" s="162">
        <v>2</v>
      </c>
      <c r="AR3031" s="162">
        <v>2</v>
      </c>
      <c r="AS3031" s="162">
        <v>1</v>
      </c>
      <c r="AT3031" s="162">
        <v>1</v>
      </c>
      <c r="AU3031" s="162">
        <v>1</v>
      </c>
      <c r="AV3031" s="162"/>
      <c r="AW3031" s="162"/>
      <c r="AX3031" s="162"/>
      <c r="AY3031" s="162"/>
      <c r="AZ3031" s="162">
        <v>2</v>
      </c>
      <c r="BA3031" s="162">
        <v>1</v>
      </c>
      <c r="BB3031" s="162">
        <v>1</v>
      </c>
      <c r="BC3031" s="162">
        <v>1</v>
      </c>
      <c r="BD3031" s="162">
        <v>1</v>
      </c>
      <c r="BE3031" s="162">
        <v>2</v>
      </c>
      <c r="BF3031" s="162"/>
      <c r="BG3031" s="162"/>
      <c r="BH3031" s="162"/>
      <c r="BI3031" s="162"/>
      <c r="BJ3031" s="162">
        <v>2</v>
      </c>
      <c r="BK3031" s="162"/>
      <c r="BL3031" s="162"/>
      <c r="BM3031" s="162"/>
      <c r="BN3031" s="162"/>
    </row>
    <row r="3032" spans="1:66" x14ac:dyDescent="0.2">
      <c r="A3032" s="57">
        <v>622</v>
      </c>
      <c r="B3032" s="162" t="s">
        <v>3655</v>
      </c>
      <c r="C3032" s="195">
        <v>44751.332361111112</v>
      </c>
      <c r="D3032" s="55">
        <v>280</v>
      </c>
      <c r="I3032" s="46" t="s">
        <v>839</v>
      </c>
      <c r="J3032" s="162">
        <v>3</v>
      </c>
      <c r="K3032" s="162">
        <v>4</v>
      </c>
      <c r="L3032" s="162">
        <v>2</v>
      </c>
      <c r="M3032" s="162">
        <v>2</v>
      </c>
      <c r="N3032" s="162">
        <v>2</v>
      </c>
      <c r="O3032" s="162">
        <v>4</v>
      </c>
      <c r="P3032" s="162">
        <v>2</v>
      </c>
      <c r="Q3032" s="162">
        <v>3</v>
      </c>
      <c r="R3032" s="162">
        <v>2</v>
      </c>
      <c r="S3032" s="162">
        <v>4</v>
      </c>
      <c r="T3032" s="162">
        <v>1</v>
      </c>
      <c r="U3032" s="162">
        <v>2</v>
      </c>
      <c r="V3032" s="162">
        <v>3</v>
      </c>
      <c r="W3032" s="162">
        <v>3</v>
      </c>
      <c r="X3032" s="162">
        <v>2</v>
      </c>
      <c r="Y3032" s="162">
        <v>2</v>
      </c>
      <c r="Z3032" s="162">
        <v>2</v>
      </c>
      <c r="AA3032" s="162">
        <v>4</v>
      </c>
      <c r="AB3032" s="162">
        <v>3</v>
      </c>
      <c r="AC3032" s="162">
        <v>3</v>
      </c>
      <c r="AD3032" s="162">
        <v>2</v>
      </c>
      <c r="AE3032" s="162">
        <v>3</v>
      </c>
      <c r="AF3032" s="162">
        <v>3</v>
      </c>
      <c r="AG3032" s="162">
        <v>4</v>
      </c>
      <c r="AH3032" s="162">
        <v>2</v>
      </c>
      <c r="AI3032" s="162">
        <v>2</v>
      </c>
      <c r="AJ3032" s="162">
        <v>2</v>
      </c>
      <c r="AK3032" s="162">
        <v>2</v>
      </c>
      <c r="AL3032" s="162">
        <v>2</v>
      </c>
      <c r="AM3032" s="162">
        <v>1</v>
      </c>
      <c r="AN3032" s="162">
        <v>2</v>
      </c>
      <c r="AO3032" s="162">
        <v>2</v>
      </c>
      <c r="AP3032" s="162">
        <v>2</v>
      </c>
      <c r="AQ3032" s="162">
        <v>2</v>
      </c>
      <c r="AR3032" s="162">
        <v>2</v>
      </c>
      <c r="AS3032" s="162">
        <v>1</v>
      </c>
      <c r="AT3032" s="162">
        <v>3</v>
      </c>
      <c r="AU3032" s="162">
        <v>2</v>
      </c>
      <c r="AV3032" s="162"/>
      <c r="AW3032" s="162"/>
      <c r="AX3032" s="162"/>
      <c r="AY3032" s="162"/>
      <c r="AZ3032" s="162">
        <v>1</v>
      </c>
      <c r="BA3032" s="162">
        <v>1</v>
      </c>
      <c r="BB3032" s="162">
        <v>1</v>
      </c>
      <c r="BC3032" s="162">
        <v>3</v>
      </c>
      <c r="BD3032" s="162">
        <v>1</v>
      </c>
      <c r="BE3032" s="162">
        <v>4</v>
      </c>
      <c r="BF3032" s="162">
        <v>2</v>
      </c>
      <c r="BG3032" s="162">
        <v>2</v>
      </c>
      <c r="BH3032" s="162">
        <v>2</v>
      </c>
      <c r="BI3032" s="162">
        <v>3</v>
      </c>
      <c r="BJ3032" s="162">
        <v>3</v>
      </c>
      <c r="BK3032" s="162">
        <v>1</v>
      </c>
      <c r="BL3032" s="162">
        <v>2</v>
      </c>
      <c r="BM3032" s="162">
        <v>1</v>
      </c>
      <c r="BN3032" s="162">
        <v>2</v>
      </c>
    </row>
    <row r="3033" spans="1:66" x14ac:dyDescent="0.2">
      <c r="A3033" s="57">
        <v>622</v>
      </c>
      <c r="B3033" s="162" t="s">
        <v>3655</v>
      </c>
      <c r="C3033" s="195">
        <v>44743.733807870369</v>
      </c>
      <c r="D3033" s="55">
        <v>280</v>
      </c>
      <c r="I3033" s="46" t="s">
        <v>839</v>
      </c>
      <c r="J3033" s="162">
        <v>4</v>
      </c>
      <c r="K3033" s="162">
        <v>4</v>
      </c>
      <c r="L3033" s="162">
        <v>2</v>
      </c>
      <c r="M3033" s="162">
        <v>2</v>
      </c>
      <c r="N3033" s="162">
        <v>2</v>
      </c>
      <c r="O3033" s="162">
        <v>4</v>
      </c>
      <c r="P3033" s="162">
        <v>2</v>
      </c>
      <c r="Q3033" s="162">
        <v>2</v>
      </c>
      <c r="R3033" s="162">
        <v>2</v>
      </c>
      <c r="S3033" s="162">
        <v>4</v>
      </c>
      <c r="T3033" s="162">
        <v>2</v>
      </c>
      <c r="U3033" s="162">
        <v>2</v>
      </c>
      <c r="V3033" s="162">
        <v>2</v>
      </c>
      <c r="W3033" s="162">
        <v>4</v>
      </c>
      <c r="X3033" s="162">
        <v>2</v>
      </c>
      <c r="Y3033" s="162">
        <v>2</v>
      </c>
      <c r="Z3033" s="162">
        <v>2</v>
      </c>
      <c r="AA3033" s="162">
        <v>4</v>
      </c>
      <c r="AB3033" s="162">
        <v>2</v>
      </c>
      <c r="AC3033" s="162">
        <v>2</v>
      </c>
      <c r="AD3033" s="162">
        <v>2</v>
      </c>
      <c r="AE3033" s="162">
        <v>2</v>
      </c>
      <c r="AF3033" s="162">
        <v>2</v>
      </c>
      <c r="AG3033" s="162">
        <v>4</v>
      </c>
      <c r="AH3033" s="162">
        <v>2</v>
      </c>
      <c r="AI3033" s="162">
        <v>1</v>
      </c>
      <c r="AJ3033" s="162">
        <v>1</v>
      </c>
      <c r="AK3033" s="162">
        <v>3</v>
      </c>
      <c r="AL3033" s="162">
        <v>2</v>
      </c>
      <c r="AM3033" s="162">
        <v>3</v>
      </c>
      <c r="AN3033" s="162"/>
      <c r="AO3033" s="162"/>
      <c r="AP3033" s="162"/>
      <c r="AQ3033" s="162"/>
      <c r="AR3033" s="162"/>
      <c r="AS3033" s="162">
        <v>5</v>
      </c>
      <c r="AT3033" s="162">
        <v>5</v>
      </c>
      <c r="AU3033" s="162">
        <v>5</v>
      </c>
      <c r="AV3033" s="162"/>
      <c r="AW3033" s="162"/>
      <c r="AX3033" s="162"/>
      <c r="AY3033" s="162"/>
      <c r="AZ3033" s="162">
        <v>5</v>
      </c>
      <c r="BA3033" s="162">
        <v>4</v>
      </c>
      <c r="BB3033" s="162">
        <v>4</v>
      </c>
      <c r="BC3033" s="162">
        <v>4</v>
      </c>
      <c r="BD3033" s="162">
        <v>4</v>
      </c>
      <c r="BE3033" s="162">
        <v>5</v>
      </c>
      <c r="BF3033" s="162"/>
      <c r="BG3033" s="162"/>
      <c r="BH3033" s="162"/>
      <c r="BI3033" s="162"/>
      <c r="BJ3033" s="162">
        <v>5</v>
      </c>
      <c r="BK3033" s="162"/>
      <c r="BL3033" s="162"/>
      <c r="BM3033" s="162"/>
      <c r="BN3033" s="162"/>
    </row>
    <row r="3034" spans="1:66" x14ac:dyDescent="0.2">
      <c r="A3034" s="57">
        <v>622</v>
      </c>
      <c r="B3034" s="162" t="s">
        <v>3655</v>
      </c>
      <c r="C3034" s="195">
        <v>44743.620983796296</v>
      </c>
      <c r="D3034" s="55">
        <v>280</v>
      </c>
      <c r="I3034" s="46" t="s">
        <v>839</v>
      </c>
      <c r="J3034" s="162">
        <v>1</v>
      </c>
      <c r="K3034" s="162">
        <v>1</v>
      </c>
      <c r="L3034" s="162"/>
      <c r="M3034" s="162"/>
      <c r="N3034" s="162"/>
      <c r="O3034" s="162">
        <v>1</v>
      </c>
      <c r="P3034" s="162"/>
      <c r="Q3034" s="162"/>
      <c r="R3034" s="162"/>
      <c r="S3034" s="162">
        <v>1</v>
      </c>
      <c r="T3034" s="162"/>
      <c r="U3034" s="162"/>
      <c r="V3034" s="162"/>
      <c r="W3034" s="162">
        <v>1</v>
      </c>
      <c r="X3034" s="162"/>
      <c r="Y3034" s="162"/>
      <c r="Z3034" s="162"/>
      <c r="AA3034" s="162">
        <v>1</v>
      </c>
      <c r="AB3034" s="162"/>
      <c r="AC3034" s="162"/>
      <c r="AD3034" s="162"/>
      <c r="AE3034" s="162"/>
      <c r="AF3034" s="162"/>
      <c r="AG3034" s="162">
        <v>1</v>
      </c>
      <c r="AH3034" s="162"/>
      <c r="AI3034" s="162"/>
      <c r="AJ3034" s="162"/>
      <c r="AK3034" s="162"/>
      <c r="AL3034" s="162"/>
      <c r="AM3034" s="162">
        <v>4</v>
      </c>
      <c r="AN3034" s="162"/>
      <c r="AO3034" s="162"/>
      <c r="AP3034" s="162"/>
      <c r="AQ3034" s="162"/>
      <c r="AR3034" s="162"/>
      <c r="AS3034" s="162">
        <v>1</v>
      </c>
      <c r="AT3034" s="162">
        <v>1</v>
      </c>
      <c r="AU3034" s="162">
        <v>1</v>
      </c>
      <c r="AV3034" s="162"/>
      <c r="AW3034" s="162"/>
      <c r="AX3034" s="162"/>
      <c r="AY3034" s="162"/>
      <c r="AZ3034" s="162">
        <v>1</v>
      </c>
      <c r="BA3034" s="162">
        <v>1</v>
      </c>
      <c r="BB3034" s="162">
        <v>1</v>
      </c>
      <c r="BC3034" s="162">
        <v>1</v>
      </c>
      <c r="BD3034" s="162">
        <v>1</v>
      </c>
      <c r="BE3034" s="162">
        <v>2</v>
      </c>
      <c r="BF3034" s="162"/>
      <c r="BG3034" s="162"/>
      <c r="BH3034" s="162"/>
      <c r="BI3034" s="162"/>
      <c r="BJ3034" s="162">
        <v>1</v>
      </c>
      <c r="BK3034" s="162"/>
      <c r="BL3034" s="162"/>
      <c r="BM3034" s="162"/>
      <c r="BN3034" s="162"/>
    </row>
    <row r="3035" spans="1:66" x14ac:dyDescent="0.2">
      <c r="A3035" s="57">
        <v>622</v>
      </c>
      <c r="B3035" s="162" t="s">
        <v>3655</v>
      </c>
      <c r="C3035" s="195">
        <v>44743.537407407406</v>
      </c>
      <c r="D3035" s="55">
        <v>280</v>
      </c>
      <c r="I3035" s="46" t="s">
        <v>839</v>
      </c>
      <c r="J3035" s="162">
        <v>1</v>
      </c>
      <c r="K3035" s="162">
        <v>1</v>
      </c>
      <c r="L3035" s="162"/>
      <c r="M3035" s="162"/>
      <c r="N3035" s="162"/>
      <c r="O3035" s="162">
        <v>1</v>
      </c>
      <c r="P3035" s="162"/>
      <c r="Q3035" s="162"/>
      <c r="R3035" s="162"/>
      <c r="S3035" s="162">
        <v>1</v>
      </c>
      <c r="T3035" s="162"/>
      <c r="U3035" s="162"/>
      <c r="V3035" s="162"/>
      <c r="W3035" s="162">
        <v>1</v>
      </c>
      <c r="X3035" s="162"/>
      <c r="Y3035" s="162"/>
      <c r="Z3035" s="162"/>
      <c r="AA3035" s="162">
        <v>1</v>
      </c>
      <c r="AB3035" s="162"/>
      <c r="AC3035" s="162"/>
      <c r="AD3035" s="162"/>
      <c r="AE3035" s="162"/>
      <c r="AF3035" s="162"/>
      <c r="AG3035" s="162">
        <v>2</v>
      </c>
      <c r="AH3035" s="162"/>
      <c r="AI3035" s="162"/>
      <c r="AJ3035" s="162"/>
      <c r="AK3035" s="162"/>
      <c r="AL3035" s="162"/>
      <c r="AM3035" s="162">
        <v>4</v>
      </c>
      <c r="AN3035" s="162"/>
      <c r="AO3035" s="162"/>
      <c r="AP3035" s="162"/>
      <c r="AQ3035" s="162"/>
      <c r="AR3035" s="162"/>
      <c r="AS3035" s="162">
        <v>2</v>
      </c>
      <c r="AT3035" s="162">
        <v>1</v>
      </c>
      <c r="AU3035" s="162">
        <v>1</v>
      </c>
      <c r="AV3035" s="162"/>
      <c r="AW3035" s="162"/>
      <c r="AX3035" s="162"/>
      <c r="AY3035" s="162"/>
      <c r="AZ3035" s="162">
        <v>2</v>
      </c>
      <c r="BA3035" s="162">
        <v>1</v>
      </c>
      <c r="BB3035" s="162">
        <v>1</v>
      </c>
      <c r="BC3035" s="162">
        <v>1</v>
      </c>
      <c r="BD3035" s="162">
        <v>1</v>
      </c>
      <c r="BE3035" s="162">
        <v>1</v>
      </c>
      <c r="BF3035" s="162"/>
      <c r="BG3035" s="162"/>
      <c r="BH3035" s="162"/>
      <c r="BI3035" s="162"/>
      <c r="BJ3035" s="162">
        <v>1</v>
      </c>
      <c r="BK3035" s="162"/>
      <c r="BL3035" s="162"/>
      <c r="BM3035" s="162"/>
      <c r="BN3035" s="162"/>
    </row>
    <row r="3036" spans="1:66" x14ac:dyDescent="0.2">
      <c r="A3036" s="57">
        <v>622</v>
      </c>
      <c r="B3036" s="162" t="s">
        <v>3655</v>
      </c>
      <c r="C3036" s="195">
        <v>44743.440115740741</v>
      </c>
      <c r="D3036" s="55">
        <v>280</v>
      </c>
      <c r="I3036" s="46" t="s">
        <v>839</v>
      </c>
      <c r="J3036" s="162">
        <v>1</v>
      </c>
      <c r="K3036" s="162">
        <v>1</v>
      </c>
      <c r="L3036" s="162"/>
      <c r="M3036" s="162"/>
      <c r="N3036" s="162"/>
      <c r="O3036" s="162">
        <v>1</v>
      </c>
      <c r="P3036" s="162"/>
      <c r="Q3036" s="162"/>
      <c r="R3036" s="162"/>
      <c r="S3036" s="162">
        <v>1</v>
      </c>
      <c r="T3036" s="162"/>
      <c r="U3036" s="162"/>
      <c r="V3036" s="162"/>
      <c r="W3036" s="162">
        <v>1</v>
      </c>
      <c r="X3036" s="162"/>
      <c r="Y3036" s="162"/>
      <c r="Z3036" s="162"/>
      <c r="AA3036" s="162">
        <v>1</v>
      </c>
      <c r="AB3036" s="162"/>
      <c r="AC3036" s="162"/>
      <c r="AD3036" s="162"/>
      <c r="AE3036" s="162"/>
      <c r="AF3036" s="162"/>
      <c r="AG3036" s="162">
        <v>2</v>
      </c>
      <c r="AH3036" s="162"/>
      <c r="AI3036" s="162"/>
      <c r="AJ3036" s="162"/>
      <c r="AK3036" s="162"/>
      <c r="AL3036" s="162"/>
      <c r="AM3036" s="162">
        <v>3</v>
      </c>
      <c r="AN3036" s="162"/>
      <c r="AO3036" s="162"/>
      <c r="AP3036" s="162"/>
      <c r="AQ3036" s="162"/>
      <c r="AR3036" s="162"/>
      <c r="AS3036" s="162">
        <v>3</v>
      </c>
      <c r="AT3036" s="162">
        <v>1</v>
      </c>
      <c r="AU3036" s="162">
        <v>1</v>
      </c>
      <c r="AV3036" s="162"/>
      <c r="AW3036" s="162"/>
      <c r="AX3036" s="162"/>
      <c r="AY3036" s="162"/>
      <c r="AZ3036" s="162">
        <v>1</v>
      </c>
      <c r="BA3036" s="162">
        <v>1</v>
      </c>
      <c r="BB3036" s="162">
        <v>1</v>
      </c>
      <c r="BC3036" s="162">
        <v>1</v>
      </c>
      <c r="BD3036" s="162">
        <v>1</v>
      </c>
      <c r="BE3036" s="162">
        <v>1</v>
      </c>
      <c r="BF3036" s="162"/>
      <c r="BG3036" s="162"/>
      <c r="BH3036" s="162"/>
      <c r="BI3036" s="162"/>
      <c r="BJ3036" s="162">
        <v>1</v>
      </c>
      <c r="BK3036" s="162"/>
      <c r="BL3036" s="162"/>
      <c r="BM3036" s="162"/>
      <c r="BN3036" s="162"/>
    </row>
    <row r="3037" spans="1:66" x14ac:dyDescent="0.2">
      <c r="A3037" s="57">
        <v>622</v>
      </c>
      <c r="B3037" s="162" t="s">
        <v>3655</v>
      </c>
      <c r="C3037" s="195">
        <v>44743.431134259263</v>
      </c>
      <c r="D3037" s="55">
        <v>280</v>
      </c>
      <c r="I3037" s="46" t="s">
        <v>839</v>
      </c>
      <c r="J3037" s="162">
        <v>1</v>
      </c>
      <c r="K3037" s="162">
        <v>1</v>
      </c>
      <c r="L3037" s="162"/>
      <c r="M3037" s="162"/>
      <c r="N3037" s="162"/>
      <c r="O3037" s="162">
        <v>1</v>
      </c>
      <c r="P3037" s="162"/>
      <c r="Q3037" s="162"/>
      <c r="R3037" s="162"/>
      <c r="S3037" s="162">
        <v>1</v>
      </c>
      <c r="T3037" s="162"/>
      <c r="U3037" s="162"/>
      <c r="V3037" s="162"/>
      <c r="W3037" s="162">
        <v>1</v>
      </c>
      <c r="X3037" s="162"/>
      <c r="Y3037" s="162"/>
      <c r="Z3037" s="162"/>
      <c r="AA3037" s="162">
        <v>2</v>
      </c>
      <c r="AB3037" s="162"/>
      <c r="AC3037" s="162"/>
      <c r="AD3037" s="162"/>
      <c r="AE3037" s="162"/>
      <c r="AF3037" s="162"/>
      <c r="AG3037" s="162">
        <v>2</v>
      </c>
      <c r="AH3037" s="162"/>
      <c r="AI3037" s="162"/>
      <c r="AJ3037" s="162"/>
      <c r="AK3037" s="162"/>
      <c r="AL3037" s="162"/>
      <c r="AM3037" s="162">
        <v>4</v>
      </c>
      <c r="AN3037" s="162"/>
      <c r="AO3037" s="162"/>
      <c r="AP3037" s="162"/>
      <c r="AQ3037" s="162"/>
      <c r="AR3037" s="162"/>
      <c r="AS3037" s="162">
        <v>4</v>
      </c>
      <c r="AT3037" s="162">
        <v>1</v>
      </c>
      <c r="AU3037" s="162">
        <v>1</v>
      </c>
      <c r="AV3037" s="162"/>
      <c r="AW3037" s="162"/>
      <c r="AX3037" s="162"/>
      <c r="AY3037" s="162"/>
      <c r="AZ3037" s="162">
        <v>1</v>
      </c>
      <c r="BA3037" s="162">
        <v>1</v>
      </c>
      <c r="BB3037" s="162">
        <v>1</v>
      </c>
      <c r="BC3037" s="162">
        <v>1</v>
      </c>
      <c r="BD3037" s="162">
        <v>1</v>
      </c>
      <c r="BE3037" s="162">
        <v>2</v>
      </c>
      <c r="BF3037" s="162"/>
      <c r="BG3037" s="162"/>
      <c r="BH3037" s="162"/>
      <c r="BI3037" s="162"/>
      <c r="BJ3037" s="162">
        <v>1</v>
      </c>
      <c r="BK3037" s="162"/>
      <c r="BL3037" s="162"/>
      <c r="BM3037" s="162"/>
      <c r="BN3037" s="162"/>
    </row>
    <row r="3038" spans="1:66" x14ac:dyDescent="0.2">
      <c r="A3038" s="57">
        <v>522</v>
      </c>
      <c r="B3038" s="162" t="s">
        <v>3655</v>
      </c>
      <c r="C3038" s="195">
        <v>44714.54488425926</v>
      </c>
      <c r="D3038" s="55">
        <v>280</v>
      </c>
      <c r="I3038" s="46" t="s">
        <v>839</v>
      </c>
      <c r="J3038" s="162">
        <v>2</v>
      </c>
      <c r="K3038" s="162">
        <v>4</v>
      </c>
      <c r="L3038" s="162">
        <v>2</v>
      </c>
      <c r="M3038" s="162">
        <v>2</v>
      </c>
      <c r="N3038" s="162">
        <v>2</v>
      </c>
      <c r="O3038" s="162">
        <v>4</v>
      </c>
      <c r="P3038" s="162">
        <v>2</v>
      </c>
      <c r="Q3038" s="162">
        <v>2</v>
      </c>
      <c r="R3038" s="162">
        <v>2</v>
      </c>
      <c r="S3038" s="162">
        <v>3</v>
      </c>
      <c r="T3038" s="162">
        <v>2</v>
      </c>
      <c r="U3038" s="162">
        <v>2</v>
      </c>
      <c r="V3038" s="162">
        <v>3</v>
      </c>
      <c r="W3038" s="162">
        <v>4</v>
      </c>
      <c r="X3038" s="162">
        <v>2</v>
      </c>
      <c r="Y3038" s="162">
        <v>2</v>
      </c>
      <c r="Z3038" s="162">
        <v>2</v>
      </c>
      <c r="AA3038" s="162">
        <v>4</v>
      </c>
      <c r="AB3038" s="162">
        <v>2</v>
      </c>
      <c r="AC3038" s="162">
        <v>2</v>
      </c>
      <c r="AD3038" s="162">
        <v>2</v>
      </c>
      <c r="AE3038" s="162">
        <v>2</v>
      </c>
      <c r="AF3038" s="162">
        <v>2</v>
      </c>
      <c r="AG3038" s="162">
        <v>4</v>
      </c>
      <c r="AH3038" s="162">
        <v>2</v>
      </c>
      <c r="AI3038" s="162">
        <v>1</v>
      </c>
      <c r="AJ3038" s="162">
        <v>3</v>
      </c>
      <c r="AK3038" s="162">
        <v>2</v>
      </c>
      <c r="AL3038" s="162">
        <v>2</v>
      </c>
      <c r="AM3038" s="162">
        <v>1</v>
      </c>
      <c r="AN3038" s="162">
        <v>2</v>
      </c>
      <c r="AO3038" s="162">
        <v>2</v>
      </c>
      <c r="AP3038" s="162">
        <v>1</v>
      </c>
      <c r="AQ3038" s="162">
        <v>2</v>
      </c>
      <c r="AR3038" s="162">
        <v>2</v>
      </c>
      <c r="AS3038" s="162">
        <v>4</v>
      </c>
      <c r="AT3038" s="162">
        <v>4</v>
      </c>
      <c r="AU3038" s="162">
        <v>3</v>
      </c>
      <c r="AV3038" s="162">
        <v>2</v>
      </c>
      <c r="AW3038" s="162">
        <v>2</v>
      </c>
      <c r="AX3038" s="162">
        <v>2</v>
      </c>
      <c r="AY3038" s="162">
        <v>2</v>
      </c>
      <c r="AZ3038" s="162">
        <v>3</v>
      </c>
      <c r="BA3038" s="162">
        <v>2</v>
      </c>
      <c r="BB3038" s="162">
        <v>2</v>
      </c>
      <c r="BC3038" s="162">
        <v>1</v>
      </c>
      <c r="BD3038" s="162">
        <v>2</v>
      </c>
      <c r="BE3038" s="162">
        <v>4</v>
      </c>
      <c r="BF3038" s="162">
        <v>2</v>
      </c>
      <c r="BG3038" s="162">
        <v>2</v>
      </c>
      <c r="BH3038" s="162">
        <v>2</v>
      </c>
      <c r="BI3038" s="162">
        <v>2</v>
      </c>
      <c r="BJ3038" s="162">
        <v>2</v>
      </c>
      <c r="BK3038" s="162"/>
      <c r="BL3038" s="162"/>
      <c r="BM3038" s="162"/>
      <c r="BN3038" s="162"/>
    </row>
    <row r="3039" spans="1:66" x14ac:dyDescent="0.2">
      <c r="A3039" s="57">
        <v>522</v>
      </c>
      <c r="B3039" s="162" t="s">
        <v>3655</v>
      </c>
      <c r="C3039" s="195">
        <v>44713.70212962963</v>
      </c>
      <c r="D3039" s="55">
        <v>280</v>
      </c>
      <c r="I3039" s="46" t="s">
        <v>839</v>
      </c>
      <c r="J3039" s="162">
        <v>4</v>
      </c>
      <c r="K3039" s="162">
        <v>4</v>
      </c>
      <c r="L3039" s="162">
        <v>2</v>
      </c>
      <c r="M3039" s="162">
        <v>2</v>
      </c>
      <c r="N3039" s="162">
        <v>2</v>
      </c>
      <c r="O3039" s="162">
        <v>4</v>
      </c>
      <c r="P3039" s="162">
        <v>2</v>
      </c>
      <c r="Q3039" s="162">
        <v>2</v>
      </c>
      <c r="R3039" s="162">
        <v>2</v>
      </c>
      <c r="S3039" s="162">
        <v>4</v>
      </c>
      <c r="T3039" s="162">
        <v>2</v>
      </c>
      <c r="U3039" s="162">
        <v>2</v>
      </c>
      <c r="V3039" s="162">
        <v>2</v>
      </c>
      <c r="W3039" s="162">
        <v>4</v>
      </c>
      <c r="X3039" s="162">
        <v>2</v>
      </c>
      <c r="Y3039" s="162">
        <v>2</v>
      </c>
      <c r="Z3039" s="162">
        <v>2</v>
      </c>
      <c r="AA3039" s="162">
        <v>4</v>
      </c>
      <c r="AB3039" s="162">
        <v>1</v>
      </c>
      <c r="AC3039" s="162">
        <v>3</v>
      </c>
      <c r="AD3039" s="162">
        <v>2</v>
      </c>
      <c r="AE3039" s="162">
        <v>2</v>
      </c>
      <c r="AF3039" s="162">
        <v>2</v>
      </c>
      <c r="AG3039" s="162">
        <v>4</v>
      </c>
      <c r="AH3039" s="162">
        <v>2</v>
      </c>
      <c r="AI3039" s="162">
        <v>1</v>
      </c>
      <c r="AJ3039" s="162">
        <v>3</v>
      </c>
      <c r="AK3039" s="162">
        <v>3</v>
      </c>
      <c r="AL3039" s="162">
        <v>2</v>
      </c>
      <c r="AM3039" s="162">
        <v>4</v>
      </c>
      <c r="AN3039" s="162"/>
      <c r="AO3039" s="162"/>
      <c r="AP3039" s="162"/>
      <c r="AQ3039" s="162"/>
      <c r="AR3039" s="162"/>
      <c r="AS3039" s="162">
        <v>4</v>
      </c>
      <c r="AT3039" s="162">
        <v>4</v>
      </c>
      <c r="AU3039" s="162">
        <v>2</v>
      </c>
      <c r="AV3039" s="162"/>
      <c r="AW3039" s="162"/>
      <c r="AX3039" s="162"/>
      <c r="AY3039" s="162"/>
      <c r="AZ3039" s="162">
        <v>2</v>
      </c>
      <c r="BA3039" s="162">
        <v>3</v>
      </c>
      <c r="BB3039" s="162">
        <v>1</v>
      </c>
      <c r="BC3039" s="162">
        <v>3</v>
      </c>
      <c r="BD3039" s="162">
        <v>2</v>
      </c>
      <c r="BE3039" s="162">
        <v>4</v>
      </c>
      <c r="BF3039" s="162">
        <v>2</v>
      </c>
      <c r="BG3039" s="162">
        <v>2</v>
      </c>
      <c r="BH3039" s="162">
        <v>2</v>
      </c>
      <c r="BI3039" s="162">
        <v>3</v>
      </c>
      <c r="BJ3039" s="162">
        <v>4</v>
      </c>
      <c r="BK3039" s="162">
        <v>2</v>
      </c>
      <c r="BL3039" s="162">
        <v>3</v>
      </c>
      <c r="BM3039" s="162">
        <v>3</v>
      </c>
      <c r="BN3039" s="162">
        <v>3</v>
      </c>
    </row>
    <row r="3040" spans="1:66" x14ac:dyDescent="0.2">
      <c r="A3040" s="57">
        <v>522</v>
      </c>
      <c r="B3040" s="162" t="s">
        <v>3655</v>
      </c>
      <c r="C3040" s="195">
        <v>44713.518680555557</v>
      </c>
      <c r="D3040" s="55">
        <v>280</v>
      </c>
      <c r="I3040" s="46" t="s">
        <v>839</v>
      </c>
      <c r="J3040" s="162">
        <v>1</v>
      </c>
      <c r="K3040" s="162">
        <v>1</v>
      </c>
      <c r="L3040" s="162"/>
      <c r="M3040" s="162"/>
      <c r="N3040" s="162"/>
      <c r="O3040" s="162">
        <v>1</v>
      </c>
      <c r="P3040" s="162"/>
      <c r="Q3040" s="162"/>
      <c r="R3040" s="162"/>
      <c r="S3040" s="162">
        <v>1</v>
      </c>
      <c r="T3040" s="162"/>
      <c r="U3040" s="162"/>
      <c r="V3040" s="162"/>
      <c r="W3040" s="162">
        <v>1</v>
      </c>
      <c r="X3040" s="162"/>
      <c r="Y3040" s="162"/>
      <c r="Z3040" s="162"/>
      <c r="AA3040" s="162">
        <v>1</v>
      </c>
      <c r="AB3040" s="162"/>
      <c r="AC3040" s="162"/>
      <c r="AD3040" s="162"/>
      <c r="AE3040" s="162"/>
      <c r="AF3040" s="162"/>
      <c r="AG3040" s="162">
        <v>1</v>
      </c>
      <c r="AH3040" s="162"/>
      <c r="AI3040" s="162"/>
      <c r="AJ3040" s="162"/>
      <c r="AK3040" s="162"/>
      <c r="AL3040" s="162"/>
      <c r="AM3040" s="162">
        <v>4</v>
      </c>
      <c r="AN3040" s="162"/>
      <c r="AO3040" s="162"/>
      <c r="AP3040" s="162"/>
      <c r="AQ3040" s="162"/>
      <c r="AR3040" s="162"/>
      <c r="AS3040" s="162">
        <v>4</v>
      </c>
      <c r="AT3040" s="162">
        <v>1</v>
      </c>
      <c r="AU3040" s="162">
        <v>1</v>
      </c>
      <c r="AV3040" s="162"/>
      <c r="AW3040" s="162"/>
      <c r="AX3040" s="162"/>
      <c r="AY3040" s="162"/>
      <c r="AZ3040" s="162">
        <v>1</v>
      </c>
      <c r="BA3040" s="162">
        <v>1</v>
      </c>
      <c r="BB3040" s="162">
        <v>1</v>
      </c>
      <c r="BC3040" s="162">
        <v>1</v>
      </c>
      <c r="BD3040" s="162">
        <v>1</v>
      </c>
      <c r="BE3040" s="162">
        <v>1</v>
      </c>
      <c r="BF3040" s="162"/>
      <c r="BG3040" s="162"/>
      <c r="BH3040" s="162"/>
      <c r="BI3040" s="162"/>
      <c r="BJ3040" s="162">
        <v>1</v>
      </c>
      <c r="BK3040" s="162"/>
      <c r="BL3040" s="162"/>
      <c r="BM3040" s="162"/>
      <c r="BN3040" s="162"/>
    </row>
    <row r="3041" spans="1:66" x14ac:dyDescent="0.2">
      <c r="A3041" s="57">
        <v>522</v>
      </c>
      <c r="B3041" s="162" t="s">
        <v>3655</v>
      </c>
      <c r="C3041" s="195">
        <v>44713.401030092595</v>
      </c>
      <c r="D3041" s="55">
        <v>280</v>
      </c>
      <c r="I3041" s="46" t="s">
        <v>839</v>
      </c>
      <c r="J3041" s="162">
        <v>2</v>
      </c>
      <c r="K3041" s="162">
        <v>2</v>
      </c>
      <c r="L3041" s="162"/>
      <c r="M3041" s="162"/>
      <c r="N3041" s="162"/>
      <c r="O3041" s="162">
        <v>3</v>
      </c>
      <c r="P3041" s="162">
        <v>3</v>
      </c>
      <c r="Q3041" s="162">
        <v>2</v>
      </c>
      <c r="R3041" s="162">
        <v>2</v>
      </c>
      <c r="S3041" s="162">
        <v>1</v>
      </c>
      <c r="T3041" s="162"/>
      <c r="U3041" s="162"/>
      <c r="V3041" s="162"/>
      <c r="W3041" s="162">
        <v>3</v>
      </c>
      <c r="X3041" s="162">
        <v>2</v>
      </c>
      <c r="Y3041" s="162">
        <v>2</v>
      </c>
      <c r="Z3041" s="162">
        <v>2</v>
      </c>
      <c r="AA3041" s="162">
        <v>4</v>
      </c>
      <c r="AB3041" s="162">
        <v>4</v>
      </c>
      <c r="AC3041" s="162">
        <v>4</v>
      </c>
      <c r="AD3041" s="162">
        <v>4</v>
      </c>
      <c r="AE3041" s="162">
        <v>4</v>
      </c>
      <c r="AF3041" s="162">
        <v>4</v>
      </c>
      <c r="AG3041" s="162">
        <v>5</v>
      </c>
      <c r="AH3041" s="162"/>
      <c r="AI3041" s="162"/>
      <c r="AJ3041" s="162"/>
      <c r="AK3041" s="162"/>
      <c r="AL3041" s="162"/>
      <c r="AM3041" s="162">
        <v>5</v>
      </c>
      <c r="AN3041" s="162"/>
      <c r="AO3041" s="162"/>
      <c r="AP3041" s="162"/>
      <c r="AQ3041" s="162"/>
      <c r="AR3041" s="162"/>
      <c r="AS3041" s="162">
        <v>5</v>
      </c>
      <c r="AT3041" s="162">
        <v>5</v>
      </c>
      <c r="AU3041" s="162">
        <v>5</v>
      </c>
      <c r="AV3041" s="162"/>
      <c r="AW3041" s="162"/>
      <c r="AX3041" s="162"/>
      <c r="AY3041" s="162"/>
      <c r="AZ3041" s="162">
        <v>5</v>
      </c>
      <c r="BA3041" s="162">
        <v>4</v>
      </c>
      <c r="BB3041" s="162">
        <v>4</v>
      </c>
      <c r="BC3041" s="162">
        <v>4</v>
      </c>
      <c r="BD3041" s="162">
        <v>4</v>
      </c>
      <c r="BE3041" s="162">
        <v>5</v>
      </c>
      <c r="BF3041" s="162"/>
      <c r="BG3041" s="162"/>
      <c r="BH3041" s="162"/>
      <c r="BI3041" s="162"/>
      <c r="BJ3041" s="162">
        <v>5</v>
      </c>
      <c r="BK3041" s="162"/>
      <c r="BL3041" s="162"/>
      <c r="BM3041" s="162"/>
      <c r="BN3041" s="162"/>
    </row>
    <row r="3042" spans="1:66" x14ac:dyDescent="0.2">
      <c r="A3042" s="57">
        <v>522</v>
      </c>
      <c r="B3042" s="162" t="s">
        <v>3655</v>
      </c>
      <c r="C3042" s="195">
        <v>44713.387361111112</v>
      </c>
      <c r="D3042" s="55">
        <v>280</v>
      </c>
      <c r="I3042" s="46" t="s">
        <v>839</v>
      </c>
      <c r="J3042" s="162">
        <v>3</v>
      </c>
      <c r="K3042" s="162">
        <v>3</v>
      </c>
      <c r="L3042" s="162">
        <v>2</v>
      </c>
      <c r="M3042" s="162">
        <v>2</v>
      </c>
      <c r="N3042" s="162">
        <v>2</v>
      </c>
      <c r="O3042" s="162">
        <v>3</v>
      </c>
      <c r="P3042" s="162">
        <v>3</v>
      </c>
      <c r="Q3042" s="162">
        <v>3</v>
      </c>
      <c r="R3042" s="162">
        <v>2</v>
      </c>
      <c r="S3042" s="162">
        <v>1</v>
      </c>
      <c r="T3042" s="162"/>
      <c r="U3042" s="162"/>
      <c r="V3042" s="162"/>
      <c r="W3042" s="162">
        <v>3</v>
      </c>
      <c r="X3042" s="162">
        <v>3</v>
      </c>
      <c r="Y3042" s="162">
        <v>3</v>
      </c>
      <c r="Z3042" s="162">
        <v>3</v>
      </c>
      <c r="AA3042" s="162">
        <v>4</v>
      </c>
      <c r="AB3042" s="162">
        <v>2</v>
      </c>
      <c r="AC3042" s="162">
        <v>2</v>
      </c>
      <c r="AD3042" s="162">
        <v>2</v>
      </c>
      <c r="AE3042" s="162">
        <v>3</v>
      </c>
      <c r="AF3042" s="162">
        <v>2</v>
      </c>
      <c r="AG3042" s="162">
        <v>5</v>
      </c>
      <c r="AH3042" s="162"/>
      <c r="AI3042" s="162"/>
      <c r="AJ3042" s="162"/>
      <c r="AK3042" s="162"/>
      <c r="AL3042" s="162"/>
      <c r="AM3042" s="162">
        <v>5</v>
      </c>
      <c r="AN3042" s="162"/>
      <c r="AO3042" s="162"/>
      <c r="AP3042" s="162"/>
      <c r="AQ3042" s="162"/>
      <c r="AR3042" s="162"/>
      <c r="AS3042" s="162">
        <v>5</v>
      </c>
      <c r="AT3042" s="162">
        <v>5</v>
      </c>
      <c r="AU3042" s="162">
        <v>5</v>
      </c>
      <c r="AV3042" s="162"/>
      <c r="AW3042" s="162"/>
      <c r="AX3042" s="162"/>
      <c r="AY3042" s="162"/>
      <c r="AZ3042" s="162">
        <v>5</v>
      </c>
      <c r="BA3042" s="162">
        <v>4</v>
      </c>
      <c r="BB3042" s="162">
        <v>4</v>
      </c>
      <c r="BC3042" s="162">
        <v>4</v>
      </c>
      <c r="BD3042" s="162">
        <v>4</v>
      </c>
      <c r="BE3042" s="162">
        <v>5</v>
      </c>
      <c r="BF3042" s="162"/>
      <c r="BG3042" s="162"/>
      <c r="BH3042" s="162"/>
      <c r="BI3042" s="162"/>
      <c r="BJ3042" s="162">
        <v>5</v>
      </c>
      <c r="BK3042" s="162"/>
      <c r="BL3042" s="162"/>
      <c r="BM3042" s="162"/>
      <c r="BN3042" s="162"/>
    </row>
    <row r="3043" spans="1:66" x14ac:dyDescent="0.2">
      <c r="A3043" s="57">
        <v>522</v>
      </c>
      <c r="B3043" s="162" t="s">
        <v>3655</v>
      </c>
      <c r="C3043" s="195">
        <v>44713.395138888889</v>
      </c>
      <c r="D3043" s="55">
        <v>280</v>
      </c>
      <c r="I3043" s="46" t="s">
        <v>839</v>
      </c>
      <c r="J3043" s="162">
        <v>1</v>
      </c>
      <c r="K3043" s="162">
        <v>2</v>
      </c>
      <c r="L3043" s="162"/>
      <c r="M3043" s="162"/>
      <c r="N3043" s="162"/>
      <c r="O3043" s="162">
        <v>1</v>
      </c>
      <c r="P3043" s="162"/>
      <c r="Q3043" s="162"/>
      <c r="R3043" s="162"/>
      <c r="S3043" s="162">
        <v>1</v>
      </c>
      <c r="T3043" s="162"/>
      <c r="U3043" s="162"/>
      <c r="V3043" s="162"/>
      <c r="W3043" s="162">
        <v>1</v>
      </c>
      <c r="X3043" s="162"/>
      <c r="Y3043" s="162"/>
      <c r="Z3043" s="162"/>
      <c r="AA3043" s="162">
        <v>1</v>
      </c>
      <c r="AB3043" s="162"/>
      <c r="AC3043" s="162"/>
      <c r="AD3043" s="162"/>
      <c r="AE3043" s="162"/>
      <c r="AF3043" s="162"/>
      <c r="AG3043" s="162">
        <v>2</v>
      </c>
      <c r="AH3043" s="162"/>
      <c r="AI3043" s="162"/>
      <c r="AJ3043" s="162"/>
      <c r="AK3043" s="162"/>
      <c r="AL3043" s="162"/>
      <c r="AM3043" s="162">
        <v>4</v>
      </c>
      <c r="AN3043" s="162"/>
      <c r="AO3043" s="162"/>
      <c r="AP3043" s="162"/>
      <c r="AQ3043" s="162"/>
      <c r="AR3043" s="162"/>
      <c r="AS3043" s="162">
        <v>3</v>
      </c>
      <c r="AT3043" s="162">
        <v>1</v>
      </c>
      <c r="AU3043" s="162">
        <v>2</v>
      </c>
      <c r="AV3043" s="162"/>
      <c r="AW3043" s="162"/>
      <c r="AX3043" s="162"/>
      <c r="AY3043" s="162"/>
      <c r="AZ3043" s="162">
        <v>1</v>
      </c>
      <c r="BA3043" s="162">
        <v>1</v>
      </c>
      <c r="BB3043" s="162">
        <v>1</v>
      </c>
      <c r="BC3043" s="162">
        <v>2</v>
      </c>
      <c r="BD3043" s="162">
        <v>1</v>
      </c>
      <c r="BE3043" s="162">
        <v>4</v>
      </c>
      <c r="BF3043" s="162">
        <v>3</v>
      </c>
      <c r="BG3043" s="162">
        <v>3</v>
      </c>
      <c r="BH3043" s="162">
        <v>3</v>
      </c>
      <c r="BI3043" s="162">
        <v>3</v>
      </c>
      <c r="BJ3043" s="162">
        <v>1</v>
      </c>
      <c r="BK3043" s="162"/>
      <c r="BL3043" s="162"/>
      <c r="BM3043" s="162"/>
      <c r="BN3043" s="162"/>
    </row>
    <row r="3044" spans="1:66" x14ac:dyDescent="0.2">
      <c r="A3044" s="57">
        <v>522</v>
      </c>
      <c r="B3044" s="162" t="s">
        <v>3655</v>
      </c>
      <c r="C3044" s="195">
        <v>44713.373032407406</v>
      </c>
      <c r="D3044" s="55">
        <v>280</v>
      </c>
      <c r="I3044" s="46" t="s">
        <v>839</v>
      </c>
      <c r="J3044" s="162">
        <v>1</v>
      </c>
      <c r="K3044" s="162">
        <v>1</v>
      </c>
      <c r="L3044" s="162"/>
      <c r="M3044" s="162"/>
      <c r="N3044" s="162"/>
      <c r="O3044" s="162">
        <v>1</v>
      </c>
      <c r="P3044" s="162"/>
      <c r="Q3044" s="162"/>
      <c r="R3044" s="162"/>
      <c r="S3044" s="162">
        <v>1</v>
      </c>
      <c r="T3044" s="162"/>
      <c r="U3044" s="162"/>
      <c r="V3044" s="162"/>
      <c r="W3044" s="162">
        <v>1</v>
      </c>
      <c r="X3044" s="162"/>
      <c r="Y3044" s="162"/>
      <c r="Z3044" s="162"/>
      <c r="AA3044" s="162">
        <v>2</v>
      </c>
      <c r="AB3044" s="162"/>
      <c r="AC3044" s="162"/>
      <c r="AD3044" s="162"/>
      <c r="AE3044" s="162"/>
      <c r="AF3044" s="162"/>
      <c r="AG3044" s="162">
        <v>3</v>
      </c>
      <c r="AH3044" s="162">
        <v>1</v>
      </c>
      <c r="AI3044" s="162">
        <v>1</v>
      </c>
      <c r="AJ3044" s="162">
        <v>1</v>
      </c>
      <c r="AK3044" s="162">
        <v>1</v>
      </c>
      <c r="AL3044" s="162">
        <v>1</v>
      </c>
      <c r="AM3044" s="162">
        <v>4</v>
      </c>
      <c r="AN3044" s="162"/>
      <c r="AO3044" s="162"/>
      <c r="AP3044" s="162"/>
      <c r="AQ3044" s="162"/>
      <c r="AR3044" s="162"/>
      <c r="AS3044" s="162">
        <v>4</v>
      </c>
      <c r="AT3044" s="162">
        <v>2</v>
      </c>
      <c r="AU3044" s="162">
        <v>2</v>
      </c>
      <c r="AV3044" s="162"/>
      <c r="AW3044" s="162"/>
      <c r="AX3044" s="162"/>
      <c r="AY3044" s="162"/>
      <c r="AZ3044" s="162">
        <v>2</v>
      </c>
      <c r="BA3044" s="162">
        <v>1</v>
      </c>
      <c r="BB3044" s="162">
        <v>1</v>
      </c>
      <c r="BC3044" s="162">
        <v>1</v>
      </c>
      <c r="BD3044" s="162">
        <v>1</v>
      </c>
      <c r="BE3044" s="162">
        <v>1</v>
      </c>
      <c r="BF3044" s="162"/>
      <c r="BG3044" s="162"/>
      <c r="BH3044" s="162"/>
      <c r="BI3044" s="162"/>
      <c r="BJ3044" s="162">
        <v>1</v>
      </c>
      <c r="BK3044" s="162"/>
      <c r="BL3044" s="162"/>
      <c r="BM3044" s="162"/>
      <c r="BN3044" s="162"/>
    </row>
    <row r="3045" spans="1:66" x14ac:dyDescent="0.2">
      <c r="A3045" s="57">
        <v>422</v>
      </c>
      <c r="B3045" s="162" t="s">
        <v>3655</v>
      </c>
      <c r="C3045" s="195">
        <v>44697.554965277777</v>
      </c>
      <c r="D3045" s="55">
        <v>280</v>
      </c>
      <c r="I3045" s="46" t="s">
        <v>839</v>
      </c>
      <c r="J3045" s="162">
        <v>4</v>
      </c>
      <c r="K3045" s="162">
        <v>4</v>
      </c>
      <c r="L3045" s="162">
        <v>2</v>
      </c>
      <c r="M3045" s="162">
        <v>2</v>
      </c>
      <c r="N3045" s="162">
        <v>2</v>
      </c>
      <c r="O3045" s="162">
        <v>4</v>
      </c>
      <c r="P3045" s="162">
        <v>2</v>
      </c>
      <c r="Q3045" s="162">
        <v>2</v>
      </c>
      <c r="R3045" s="162">
        <v>2</v>
      </c>
      <c r="S3045" s="162">
        <v>4</v>
      </c>
      <c r="T3045" s="162">
        <v>2</v>
      </c>
      <c r="U3045" s="162">
        <v>2</v>
      </c>
      <c r="V3045" s="162">
        <v>2</v>
      </c>
      <c r="W3045" s="162">
        <v>4</v>
      </c>
      <c r="X3045" s="162">
        <v>2</v>
      </c>
      <c r="Y3045" s="162">
        <v>2</v>
      </c>
      <c r="Z3045" s="162">
        <v>2</v>
      </c>
      <c r="AA3045" s="162">
        <v>4</v>
      </c>
      <c r="AB3045" s="162">
        <v>3</v>
      </c>
      <c r="AC3045" s="162">
        <v>2</v>
      </c>
      <c r="AD3045" s="162">
        <v>2</v>
      </c>
      <c r="AE3045" s="162">
        <v>2</v>
      </c>
      <c r="AF3045" s="162">
        <v>2</v>
      </c>
      <c r="AG3045" s="162">
        <v>4</v>
      </c>
      <c r="AH3045" s="162">
        <v>4</v>
      </c>
      <c r="AI3045" s="162">
        <v>4</v>
      </c>
      <c r="AJ3045" s="162">
        <v>4</v>
      </c>
      <c r="AK3045" s="162">
        <v>4</v>
      </c>
      <c r="AL3045" s="162">
        <v>4</v>
      </c>
      <c r="AM3045" s="162">
        <v>5</v>
      </c>
      <c r="AN3045" s="162"/>
      <c r="AO3045" s="162"/>
      <c r="AP3045" s="162"/>
      <c r="AQ3045" s="162"/>
      <c r="AR3045" s="162"/>
      <c r="AS3045" s="162">
        <v>5</v>
      </c>
      <c r="AT3045" s="162">
        <v>5</v>
      </c>
      <c r="AU3045" s="162">
        <v>5</v>
      </c>
      <c r="AV3045" s="162"/>
      <c r="AW3045" s="162"/>
      <c r="AX3045" s="162"/>
      <c r="AY3045" s="162"/>
      <c r="AZ3045" s="162">
        <v>5</v>
      </c>
      <c r="BA3045" s="162">
        <v>4</v>
      </c>
      <c r="BB3045" s="162">
        <v>4</v>
      </c>
      <c r="BC3045" s="162">
        <v>4</v>
      </c>
      <c r="BD3045" s="162">
        <v>4</v>
      </c>
      <c r="BE3045" s="162">
        <v>5</v>
      </c>
      <c r="BF3045" s="162"/>
      <c r="BG3045" s="162"/>
      <c r="BH3045" s="162"/>
      <c r="BI3045" s="162"/>
      <c r="BJ3045" s="162">
        <v>5</v>
      </c>
      <c r="BK3045" s="162"/>
      <c r="BL3045" s="162"/>
      <c r="BM3045" s="162"/>
      <c r="BN3045" s="162"/>
    </row>
    <row r="3046" spans="1:66" x14ac:dyDescent="0.2">
      <c r="A3046" s="57">
        <v>422</v>
      </c>
      <c r="B3046" s="162" t="s">
        <v>3655</v>
      </c>
      <c r="C3046" s="195">
        <v>44685.409756944442</v>
      </c>
      <c r="D3046" s="55">
        <v>280</v>
      </c>
      <c r="I3046" s="46" t="s">
        <v>839</v>
      </c>
      <c r="J3046" s="162">
        <v>4</v>
      </c>
      <c r="K3046" s="162">
        <v>3</v>
      </c>
      <c r="L3046" s="162">
        <v>2</v>
      </c>
      <c r="M3046" s="162">
        <v>2</v>
      </c>
      <c r="N3046" s="162">
        <v>2</v>
      </c>
      <c r="O3046" s="162">
        <v>4</v>
      </c>
      <c r="P3046" s="162">
        <v>2</v>
      </c>
      <c r="Q3046" s="162">
        <v>2</v>
      </c>
      <c r="R3046" s="162">
        <v>2</v>
      </c>
      <c r="S3046" s="162">
        <v>2</v>
      </c>
      <c r="T3046" s="162"/>
      <c r="U3046" s="162"/>
      <c r="V3046" s="162"/>
      <c r="W3046" s="162">
        <v>2</v>
      </c>
      <c r="X3046" s="162"/>
      <c r="Y3046" s="162"/>
      <c r="Z3046" s="162"/>
      <c r="AA3046" s="162">
        <v>4</v>
      </c>
      <c r="AB3046" s="162">
        <v>1</v>
      </c>
      <c r="AC3046" s="162">
        <v>2</v>
      </c>
      <c r="AD3046" s="162">
        <v>2</v>
      </c>
      <c r="AE3046" s="162">
        <v>2</v>
      </c>
      <c r="AF3046" s="162">
        <v>2</v>
      </c>
      <c r="AG3046" s="162">
        <v>4</v>
      </c>
      <c r="AH3046" s="162">
        <v>2</v>
      </c>
      <c r="AI3046" s="162">
        <v>2</v>
      </c>
      <c r="AJ3046" s="162">
        <v>2</v>
      </c>
      <c r="AK3046" s="162">
        <v>2</v>
      </c>
      <c r="AL3046" s="162">
        <v>2</v>
      </c>
      <c r="AM3046" s="162">
        <v>4</v>
      </c>
      <c r="AN3046" s="162"/>
      <c r="AO3046" s="162"/>
      <c r="AP3046" s="162"/>
      <c r="AQ3046" s="162"/>
      <c r="AR3046" s="162"/>
      <c r="AS3046" s="162">
        <v>4</v>
      </c>
      <c r="AT3046" s="162">
        <v>4</v>
      </c>
      <c r="AU3046" s="162">
        <v>3</v>
      </c>
      <c r="AV3046" s="162">
        <v>1</v>
      </c>
      <c r="AW3046" s="162">
        <v>2</v>
      </c>
      <c r="AX3046" s="162">
        <v>1</v>
      </c>
      <c r="AY3046" s="162">
        <v>2</v>
      </c>
      <c r="AZ3046" s="162">
        <v>2</v>
      </c>
      <c r="BA3046" s="162">
        <v>1</v>
      </c>
      <c r="BB3046" s="162">
        <v>1</v>
      </c>
      <c r="BC3046" s="162">
        <v>2</v>
      </c>
      <c r="BD3046" s="162">
        <v>1</v>
      </c>
      <c r="BE3046" s="162">
        <v>4</v>
      </c>
      <c r="BF3046" s="162">
        <v>2</v>
      </c>
      <c r="BG3046" s="162">
        <v>2</v>
      </c>
      <c r="BH3046" s="162">
        <v>2</v>
      </c>
      <c r="BI3046" s="162">
        <v>2</v>
      </c>
      <c r="BJ3046" s="162">
        <v>4</v>
      </c>
      <c r="BK3046" s="162">
        <v>2</v>
      </c>
      <c r="BL3046" s="162">
        <v>2</v>
      </c>
      <c r="BM3046" s="162">
        <v>2</v>
      </c>
      <c r="BN3046" s="162">
        <v>2</v>
      </c>
    </row>
    <row r="3047" spans="1:66" x14ac:dyDescent="0.2">
      <c r="A3047" s="57">
        <v>422</v>
      </c>
      <c r="B3047" s="162" t="s">
        <v>3655</v>
      </c>
      <c r="C3047" s="195">
        <v>44683.264641203707</v>
      </c>
      <c r="D3047" s="55">
        <v>280</v>
      </c>
      <c r="I3047" s="46" t="s">
        <v>839</v>
      </c>
      <c r="J3047" s="162">
        <v>2</v>
      </c>
      <c r="K3047" s="162">
        <v>2</v>
      </c>
      <c r="L3047" s="162"/>
      <c r="M3047" s="162"/>
      <c r="N3047" s="162"/>
      <c r="O3047" s="162">
        <v>2</v>
      </c>
      <c r="P3047" s="162"/>
      <c r="Q3047" s="162"/>
      <c r="R3047" s="162"/>
      <c r="S3047" s="162">
        <v>1</v>
      </c>
      <c r="T3047" s="162"/>
      <c r="U3047" s="162"/>
      <c r="V3047" s="162"/>
      <c r="W3047" s="162">
        <v>2</v>
      </c>
      <c r="X3047" s="162"/>
      <c r="Y3047" s="162"/>
      <c r="Z3047" s="162"/>
      <c r="AA3047" s="162">
        <v>3</v>
      </c>
      <c r="AB3047" s="162">
        <v>1</v>
      </c>
      <c r="AC3047" s="162">
        <v>1</v>
      </c>
      <c r="AD3047" s="162">
        <v>1</v>
      </c>
      <c r="AE3047" s="162">
        <v>1</v>
      </c>
      <c r="AF3047" s="162">
        <v>1</v>
      </c>
      <c r="AG3047" s="162">
        <v>4</v>
      </c>
      <c r="AH3047" s="162">
        <v>3</v>
      </c>
      <c r="AI3047" s="162">
        <v>2</v>
      </c>
      <c r="AJ3047" s="162">
        <v>2</v>
      </c>
      <c r="AK3047" s="162">
        <v>2</v>
      </c>
      <c r="AL3047" s="162">
        <v>3</v>
      </c>
      <c r="AM3047" s="162">
        <v>4</v>
      </c>
      <c r="AN3047" s="162"/>
      <c r="AO3047" s="162"/>
      <c r="AP3047" s="162"/>
      <c r="AQ3047" s="162"/>
      <c r="AR3047" s="162"/>
      <c r="AS3047" s="162">
        <v>2</v>
      </c>
      <c r="AT3047" s="162">
        <v>2</v>
      </c>
      <c r="AU3047" s="162">
        <v>4</v>
      </c>
      <c r="AV3047" s="162">
        <v>1</v>
      </c>
      <c r="AW3047" s="162">
        <v>2</v>
      </c>
      <c r="AX3047" s="162">
        <v>1</v>
      </c>
      <c r="AY3047" s="162">
        <v>2</v>
      </c>
      <c r="AZ3047" s="162">
        <v>2</v>
      </c>
      <c r="BA3047" s="162">
        <v>2</v>
      </c>
      <c r="BB3047" s="162">
        <v>2</v>
      </c>
      <c r="BC3047" s="162">
        <v>2</v>
      </c>
      <c r="BD3047" s="162">
        <v>1</v>
      </c>
      <c r="BE3047" s="162">
        <v>3</v>
      </c>
      <c r="BF3047" s="162">
        <v>2</v>
      </c>
      <c r="BG3047" s="162">
        <v>2</v>
      </c>
      <c r="BH3047" s="162">
        <v>1</v>
      </c>
      <c r="BI3047" s="162">
        <v>3</v>
      </c>
      <c r="BJ3047" s="162">
        <v>2</v>
      </c>
      <c r="BK3047" s="162"/>
      <c r="BL3047" s="162"/>
      <c r="BM3047" s="162"/>
      <c r="BN3047" s="162"/>
    </row>
    <row r="3048" spans="1:66" x14ac:dyDescent="0.2">
      <c r="A3048" s="57">
        <v>422</v>
      </c>
      <c r="B3048" s="162" t="s">
        <v>3655</v>
      </c>
      <c r="C3048" s="195">
        <v>44682.806458333333</v>
      </c>
      <c r="D3048" s="55">
        <v>280</v>
      </c>
      <c r="I3048" s="46" t="s">
        <v>839</v>
      </c>
      <c r="J3048" s="162">
        <v>4</v>
      </c>
      <c r="K3048" s="162">
        <v>4</v>
      </c>
      <c r="L3048" s="162">
        <v>2</v>
      </c>
      <c r="M3048" s="162">
        <v>2</v>
      </c>
      <c r="N3048" s="162">
        <v>2</v>
      </c>
      <c r="O3048" s="162">
        <v>4</v>
      </c>
      <c r="P3048" s="162">
        <v>2</v>
      </c>
      <c r="Q3048" s="162">
        <v>2</v>
      </c>
      <c r="R3048" s="162">
        <v>2</v>
      </c>
      <c r="S3048" s="162">
        <v>2</v>
      </c>
      <c r="T3048" s="162"/>
      <c r="U3048" s="162"/>
      <c r="V3048" s="162"/>
      <c r="W3048" s="162">
        <v>3</v>
      </c>
      <c r="X3048" s="162">
        <v>3</v>
      </c>
      <c r="Y3048" s="162">
        <v>2</v>
      </c>
      <c r="Z3048" s="162">
        <v>2</v>
      </c>
      <c r="AA3048" s="162">
        <v>4</v>
      </c>
      <c r="AB3048" s="162">
        <v>1</v>
      </c>
      <c r="AC3048" s="162">
        <v>2</v>
      </c>
      <c r="AD3048" s="162">
        <v>2</v>
      </c>
      <c r="AE3048" s="162">
        <v>2</v>
      </c>
      <c r="AF3048" s="162">
        <v>2</v>
      </c>
      <c r="AG3048" s="162">
        <v>3</v>
      </c>
      <c r="AH3048" s="162">
        <v>2</v>
      </c>
      <c r="AI3048" s="162">
        <v>1</v>
      </c>
      <c r="AJ3048" s="162">
        <v>2</v>
      </c>
      <c r="AK3048" s="162">
        <v>2</v>
      </c>
      <c r="AL3048" s="162">
        <v>2</v>
      </c>
      <c r="AM3048" s="162">
        <v>1</v>
      </c>
      <c r="AN3048" s="162">
        <v>2</v>
      </c>
      <c r="AO3048" s="162">
        <v>2</v>
      </c>
      <c r="AP3048" s="162">
        <v>2</v>
      </c>
      <c r="AQ3048" s="162">
        <v>2</v>
      </c>
      <c r="AR3048" s="162">
        <v>2</v>
      </c>
      <c r="AS3048" s="162">
        <v>1</v>
      </c>
      <c r="AT3048" s="162">
        <v>4</v>
      </c>
      <c r="AU3048" s="162">
        <v>2</v>
      </c>
      <c r="AV3048" s="162"/>
      <c r="AW3048" s="162"/>
      <c r="AX3048" s="162"/>
      <c r="AY3048" s="162"/>
      <c r="AZ3048" s="162">
        <v>2</v>
      </c>
      <c r="BA3048" s="162">
        <v>1</v>
      </c>
      <c r="BB3048" s="162">
        <v>1</v>
      </c>
      <c r="BC3048" s="162">
        <v>1</v>
      </c>
      <c r="BD3048" s="162">
        <v>1</v>
      </c>
      <c r="BE3048" s="162">
        <v>4</v>
      </c>
      <c r="BF3048" s="162">
        <v>2</v>
      </c>
      <c r="BG3048" s="162">
        <v>2</v>
      </c>
      <c r="BH3048" s="162">
        <v>2</v>
      </c>
      <c r="BI3048" s="162">
        <v>2</v>
      </c>
      <c r="BJ3048" s="162">
        <v>4</v>
      </c>
      <c r="BK3048" s="162">
        <v>1</v>
      </c>
      <c r="BL3048" s="162">
        <v>2</v>
      </c>
      <c r="BM3048" s="162">
        <v>1</v>
      </c>
      <c r="BN3048" s="162">
        <v>2</v>
      </c>
    </row>
    <row r="3049" spans="1:66" x14ac:dyDescent="0.2">
      <c r="A3049" s="57">
        <v>422</v>
      </c>
      <c r="B3049" s="162" t="s">
        <v>3655</v>
      </c>
      <c r="C3049" s="195">
        <v>44682.715243055558</v>
      </c>
      <c r="D3049" s="55">
        <v>280</v>
      </c>
      <c r="I3049" s="46" t="s">
        <v>839</v>
      </c>
      <c r="J3049" s="162">
        <v>3</v>
      </c>
      <c r="K3049" s="162">
        <v>2</v>
      </c>
      <c r="L3049" s="162"/>
      <c r="M3049" s="162"/>
      <c r="N3049" s="162"/>
      <c r="O3049" s="162">
        <v>3</v>
      </c>
      <c r="P3049" s="162">
        <v>1</v>
      </c>
      <c r="Q3049" s="162">
        <v>2</v>
      </c>
      <c r="R3049" s="162">
        <v>2</v>
      </c>
      <c r="S3049" s="162">
        <v>1</v>
      </c>
      <c r="T3049" s="162"/>
      <c r="U3049" s="162"/>
      <c r="V3049" s="162"/>
      <c r="W3049" s="162">
        <v>3</v>
      </c>
      <c r="X3049" s="162">
        <v>2</v>
      </c>
      <c r="Y3049" s="162">
        <v>2</v>
      </c>
      <c r="Z3049" s="162">
        <v>2</v>
      </c>
      <c r="AA3049" s="162">
        <v>2</v>
      </c>
      <c r="AB3049" s="162"/>
      <c r="AC3049" s="162"/>
      <c r="AD3049" s="162"/>
      <c r="AE3049" s="162"/>
      <c r="AF3049" s="162"/>
      <c r="AG3049" s="162">
        <v>2</v>
      </c>
      <c r="AH3049" s="162"/>
      <c r="AI3049" s="162"/>
      <c r="AJ3049" s="162"/>
      <c r="AK3049" s="162"/>
      <c r="AL3049" s="162"/>
      <c r="AM3049" s="162">
        <v>4</v>
      </c>
      <c r="AN3049" s="162"/>
      <c r="AO3049" s="162"/>
      <c r="AP3049" s="162"/>
      <c r="AQ3049" s="162"/>
      <c r="AR3049" s="162"/>
      <c r="AS3049" s="162">
        <v>3</v>
      </c>
      <c r="AT3049" s="162">
        <v>2</v>
      </c>
      <c r="AU3049" s="162">
        <v>1</v>
      </c>
      <c r="AV3049" s="162"/>
      <c r="AW3049" s="162"/>
      <c r="AX3049" s="162"/>
      <c r="AY3049" s="162"/>
      <c r="AZ3049" s="162">
        <v>1</v>
      </c>
      <c r="BA3049" s="162">
        <v>1</v>
      </c>
      <c r="BB3049" s="162">
        <v>1</v>
      </c>
      <c r="BC3049" s="162">
        <v>1</v>
      </c>
      <c r="BD3049" s="162">
        <v>1</v>
      </c>
      <c r="BE3049" s="162">
        <v>2</v>
      </c>
      <c r="BF3049" s="162"/>
      <c r="BG3049" s="162"/>
      <c r="BH3049" s="162"/>
      <c r="BI3049" s="162"/>
      <c r="BJ3049" s="162">
        <v>2</v>
      </c>
      <c r="BK3049" s="162"/>
      <c r="BL3049" s="162"/>
      <c r="BM3049" s="162"/>
      <c r="BN3049" s="162"/>
    </row>
    <row r="3050" spans="1:66" x14ac:dyDescent="0.2">
      <c r="A3050" s="57">
        <v>422</v>
      </c>
      <c r="B3050" s="162" t="s">
        <v>3655</v>
      </c>
      <c r="C3050" s="195">
        <v>44682.708587962959</v>
      </c>
      <c r="D3050" s="55">
        <v>280</v>
      </c>
      <c r="I3050" s="46" t="s">
        <v>839</v>
      </c>
      <c r="J3050" s="162">
        <v>1</v>
      </c>
      <c r="K3050" s="162">
        <v>1</v>
      </c>
      <c r="L3050" s="162"/>
      <c r="M3050" s="162"/>
      <c r="N3050" s="162"/>
      <c r="O3050" s="162">
        <v>1</v>
      </c>
      <c r="P3050" s="162"/>
      <c r="Q3050" s="162"/>
      <c r="R3050" s="162"/>
      <c r="S3050" s="162">
        <v>1</v>
      </c>
      <c r="T3050" s="162"/>
      <c r="U3050" s="162"/>
      <c r="V3050" s="162"/>
      <c r="W3050" s="162">
        <v>1</v>
      </c>
      <c r="X3050" s="162"/>
      <c r="Y3050" s="162"/>
      <c r="Z3050" s="162"/>
      <c r="AA3050" s="162">
        <v>1</v>
      </c>
      <c r="AB3050" s="162"/>
      <c r="AC3050" s="162"/>
      <c r="AD3050" s="162"/>
      <c r="AE3050" s="162"/>
      <c r="AF3050" s="162"/>
      <c r="AG3050" s="162">
        <v>1</v>
      </c>
      <c r="AH3050" s="162"/>
      <c r="AI3050" s="162"/>
      <c r="AJ3050" s="162"/>
      <c r="AK3050" s="162"/>
      <c r="AL3050" s="162"/>
      <c r="AM3050" s="162">
        <v>1</v>
      </c>
      <c r="AN3050" s="162">
        <v>1</v>
      </c>
      <c r="AO3050" s="162">
        <v>1</v>
      </c>
      <c r="AP3050" s="162">
        <v>1</v>
      </c>
      <c r="AQ3050" s="162">
        <v>1</v>
      </c>
      <c r="AR3050" s="162">
        <v>2</v>
      </c>
      <c r="AS3050" s="162">
        <v>4</v>
      </c>
      <c r="AT3050" s="162">
        <v>1</v>
      </c>
      <c r="AU3050" s="162">
        <v>1</v>
      </c>
      <c r="AV3050" s="162"/>
      <c r="AW3050" s="162"/>
      <c r="AX3050" s="162"/>
      <c r="AY3050" s="162"/>
      <c r="AZ3050" s="162">
        <v>1</v>
      </c>
      <c r="BA3050" s="162">
        <v>1</v>
      </c>
      <c r="BB3050" s="162">
        <v>1</v>
      </c>
      <c r="BC3050" s="162">
        <v>1</v>
      </c>
      <c r="BD3050" s="162">
        <v>1</v>
      </c>
      <c r="BE3050" s="162">
        <v>1</v>
      </c>
      <c r="BF3050" s="162"/>
      <c r="BG3050" s="162"/>
      <c r="BH3050" s="162"/>
      <c r="BI3050" s="162"/>
      <c r="BJ3050" s="162">
        <v>1</v>
      </c>
      <c r="BK3050" s="162"/>
      <c r="BL3050" s="162"/>
      <c r="BM3050" s="162"/>
      <c r="BN3050" s="162"/>
    </row>
    <row r="3051" spans="1:66" x14ac:dyDescent="0.2">
      <c r="A3051" s="57">
        <v>422</v>
      </c>
      <c r="B3051" s="162" t="s">
        <v>3655</v>
      </c>
      <c r="C3051" s="195">
        <v>44682.655601851853</v>
      </c>
      <c r="D3051" s="55">
        <v>280</v>
      </c>
      <c r="I3051" s="46" t="s">
        <v>839</v>
      </c>
      <c r="J3051" s="162">
        <v>1</v>
      </c>
      <c r="K3051" s="162">
        <v>1</v>
      </c>
      <c r="L3051" s="162"/>
      <c r="M3051" s="162"/>
      <c r="N3051" s="162"/>
      <c r="O3051" s="162">
        <v>1</v>
      </c>
      <c r="P3051" s="162"/>
      <c r="Q3051" s="162"/>
      <c r="R3051" s="162"/>
      <c r="S3051" s="162">
        <v>1</v>
      </c>
      <c r="T3051" s="162"/>
      <c r="U3051" s="162"/>
      <c r="V3051" s="162"/>
      <c r="W3051" s="162">
        <v>1</v>
      </c>
      <c r="X3051" s="162"/>
      <c r="Y3051" s="162"/>
      <c r="Z3051" s="162"/>
      <c r="AA3051" s="162">
        <v>1</v>
      </c>
      <c r="AB3051" s="162"/>
      <c r="AC3051" s="162"/>
      <c r="AD3051" s="162"/>
      <c r="AE3051" s="162"/>
      <c r="AF3051" s="162"/>
      <c r="AG3051" s="162">
        <v>1</v>
      </c>
      <c r="AH3051" s="162"/>
      <c r="AI3051" s="162"/>
      <c r="AJ3051" s="162"/>
      <c r="AK3051" s="162"/>
      <c r="AL3051" s="162"/>
      <c r="AM3051" s="162">
        <v>4</v>
      </c>
      <c r="AN3051" s="162"/>
      <c r="AO3051" s="162"/>
      <c r="AP3051" s="162"/>
      <c r="AQ3051" s="162"/>
      <c r="AR3051" s="162"/>
      <c r="AS3051" s="162">
        <v>4</v>
      </c>
      <c r="AT3051" s="162">
        <v>1</v>
      </c>
      <c r="AU3051" s="162">
        <v>1</v>
      </c>
      <c r="AV3051" s="162"/>
      <c r="AW3051" s="162"/>
      <c r="AX3051" s="162"/>
      <c r="AY3051" s="162"/>
      <c r="AZ3051" s="162">
        <v>1</v>
      </c>
      <c r="BA3051" s="162">
        <v>4</v>
      </c>
      <c r="BB3051" s="162">
        <v>4</v>
      </c>
      <c r="BC3051" s="162">
        <v>4</v>
      </c>
      <c r="BD3051" s="162">
        <v>4</v>
      </c>
      <c r="BE3051" s="162">
        <v>5</v>
      </c>
      <c r="BF3051" s="162"/>
      <c r="BG3051" s="162"/>
      <c r="BH3051" s="162"/>
      <c r="BI3051" s="162"/>
      <c r="BJ3051" s="162">
        <v>5</v>
      </c>
      <c r="BK3051" s="162"/>
      <c r="BL3051" s="162"/>
      <c r="BM3051" s="162"/>
      <c r="BN3051" s="162"/>
    </row>
    <row r="3052" spans="1:66" x14ac:dyDescent="0.2">
      <c r="A3052" s="57">
        <v>422</v>
      </c>
      <c r="B3052" s="162" t="s">
        <v>3655</v>
      </c>
      <c r="C3052" s="195">
        <v>44682.647812499999</v>
      </c>
      <c r="D3052" s="55">
        <v>280</v>
      </c>
      <c r="I3052" s="46" t="s">
        <v>839</v>
      </c>
      <c r="J3052" s="162">
        <v>4</v>
      </c>
      <c r="K3052" s="162">
        <v>2</v>
      </c>
      <c r="L3052" s="162"/>
      <c r="M3052" s="162"/>
      <c r="N3052" s="162"/>
      <c r="O3052" s="162">
        <v>3</v>
      </c>
      <c r="P3052" s="162">
        <v>2</v>
      </c>
      <c r="Q3052" s="162">
        <v>2</v>
      </c>
      <c r="R3052" s="162">
        <v>1</v>
      </c>
      <c r="S3052" s="162">
        <v>1</v>
      </c>
      <c r="T3052" s="162"/>
      <c r="U3052" s="162"/>
      <c r="V3052" s="162"/>
      <c r="W3052" s="162">
        <v>1</v>
      </c>
      <c r="X3052" s="162"/>
      <c r="Y3052" s="162"/>
      <c r="Z3052" s="162"/>
      <c r="AA3052" s="162">
        <v>4</v>
      </c>
      <c r="AB3052" s="162">
        <v>1</v>
      </c>
      <c r="AC3052" s="162">
        <v>1</v>
      </c>
      <c r="AD3052" s="162">
        <v>3</v>
      </c>
      <c r="AE3052" s="162">
        <v>1</v>
      </c>
      <c r="AF3052" s="162">
        <v>2</v>
      </c>
      <c r="AG3052" s="162">
        <v>4</v>
      </c>
      <c r="AH3052" s="162">
        <v>1</v>
      </c>
      <c r="AI3052" s="162">
        <v>1</v>
      </c>
      <c r="AJ3052" s="162">
        <v>1</v>
      </c>
      <c r="AK3052" s="162">
        <v>3</v>
      </c>
      <c r="AL3052" s="162">
        <v>2</v>
      </c>
      <c r="AM3052" s="162">
        <v>1</v>
      </c>
      <c r="AN3052" s="162">
        <v>2</v>
      </c>
      <c r="AO3052" s="162">
        <v>2</v>
      </c>
      <c r="AP3052" s="162">
        <v>2</v>
      </c>
      <c r="AQ3052" s="162">
        <v>2</v>
      </c>
      <c r="AR3052" s="162">
        <v>3</v>
      </c>
      <c r="AS3052" s="162">
        <v>1</v>
      </c>
      <c r="AT3052" s="162">
        <v>4</v>
      </c>
      <c r="AU3052" s="162">
        <v>2</v>
      </c>
      <c r="AV3052" s="162"/>
      <c r="AW3052" s="162"/>
      <c r="AX3052" s="162"/>
      <c r="AY3052" s="162"/>
      <c r="AZ3052" s="162">
        <v>2</v>
      </c>
      <c r="BA3052" s="162">
        <v>1</v>
      </c>
      <c r="BB3052" s="162">
        <v>1</v>
      </c>
      <c r="BC3052" s="162">
        <v>1</v>
      </c>
      <c r="BD3052" s="162">
        <v>1</v>
      </c>
      <c r="BE3052" s="162">
        <v>4</v>
      </c>
      <c r="BF3052" s="162">
        <v>1</v>
      </c>
      <c r="BG3052" s="162">
        <v>2</v>
      </c>
      <c r="BH3052" s="162">
        <v>3</v>
      </c>
      <c r="BI3052" s="162">
        <v>3</v>
      </c>
      <c r="BJ3052" s="162">
        <v>2</v>
      </c>
      <c r="BK3052" s="162"/>
      <c r="BL3052" s="162"/>
      <c r="BM3052" s="162"/>
      <c r="BN3052" s="162"/>
    </row>
    <row r="3053" spans="1:66" x14ac:dyDescent="0.2">
      <c r="A3053" s="57">
        <v>422</v>
      </c>
      <c r="B3053" s="162" t="s">
        <v>3655</v>
      </c>
      <c r="C3053" s="195">
        <v>44682.645266203705</v>
      </c>
      <c r="D3053" s="55">
        <v>280</v>
      </c>
      <c r="I3053" s="46" t="s">
        <v>839</v>
      </c>
      <c r="J3053" s="162">
        <v>1</v>
      </c>
      <c r="K3053" s="162">
        <v>1</v>
      </c>
      <c r="L3053" s="162"/>
      <c r="M3053" s="162"/>
      <c r="N3053" s="162"/>
      <c r="O3053" s="162">
        <v>1</v>
      </c>
      <c r="P3053" s="162"/>
      <c r="Q3053" s="162"/>
      <c r="R3053" s="162"/>
      <c r="S3053" s="162">
        <v>1</v>
      </c>
      <c r="T3053" s="162"/>
      <c r="U3053" s="162"/>
      <c r="V3053" s="162"/>
      <c r="W3053" s="162">
        <v>1</v>
      </c>
      <c r="X3053" s="162"/>
      <c r="Y3053" s="162"/>
      <c r="Z3053" s="162"/>
      <c r="AA3053" s="162">
        <v>1</v>
      </c>
      <c r="AB3053" s="162"/>
      <c r="AC3053" s="162"/>
      <c r="AD3053" s="162"/>
      <c r="AE3053" s="162"/>
      <c r="AF3053" s="162"/>
      <c r="AG3053" s="162">
        <v>2</v>
      </c>
      <c r="AH3053" s="162"/>
      <c r="AI3053" s="162"/>
      <c r="AJ3053" s="162"/>
      <c r="AK3053" s="162"/>
      <c r="AL3053" s="162"/>
      <c r="AM3053" s="162">
        <v>2</v>
      </c>
      <c r="AN3053" s="162">
        <v>3</v>
      </c>
      <c r="AO3053" s="162">
        <v>3</v>
      </c>
      <c r="AP3053" s="162">
        <v>3</v>
      </c>
      <c r="AQ3053" s="162">
        <v>3</v>
      </c>
      <c r="AR3053" s="162">
        <v>3</v>
      </c>
      <c r="AS3053" s="162">
        <v>1</v>
      </c>
      <c r="AT3053" s="162">
        <v>1</v>
      </c>
      <c r="AU3053" s="162">
        <v>1</v>
      </c>
      <c r="AV3053" s="162"/>
      <c r="AW3053" s="162"/>
      <c r="AX3053" s="162"/>
      <c r="AY3053" s="162"/>
      <c r="AZ3053" s="162">
        <v>1</v>
      </c>
      <c r="BA3053" s="162">
        <v>1</v>
      </c>
      <c r="BB3053" s="162">
        <v>1</v>
      </c>
      <c r="BC3053" s="162">
        <v>1</v>
      </c>
      <c r="BD3053" s="162">
        <v>1</v>
      </c>
      <c r="BE3053" s="162">
        <v>2</v>
      </c>
      <c r="BF3053" s="162"/>
      <c r="BG3053" s="162"/>
      <c r="BH3053" s="162"/>
      <c r="BI3053" s="162"/>
      <c r="BJ3053" s="162">
        <v>1</v>
      </c>
      <c r="BK3053" s="162"/>
      <c r="BL3053" s="162"/>
      <c r="BM3053" s="162"/>
      <c r="BN3053" s="162"/>
    </row>
    <row r="3054" spans="1:66" x14ac:dyDescent="0.2">
      <c r="A3054" s="57">
        <v>422</v>
      </c>
      <c r="B3054" s="162" t="s">
        <v>3655</v>
      </c>
      <c r="C3054" s="195">
        <v>44682.646863425929</v>
      </c>
      <c r="D3054" s="55">
        <v>280</v>
      </c>
      <c r="I3054" s="46" t="s">
        <v>839</v>
      </c>
      <c r="J3054" s="162">
        <v>1</v>
      </c>
      <c r="K3054" s="162">
        <v>1</v>
      </c>
      <c r="L3054" s="162"/>
      <c r="M3054" s="162"/>
      <c r="N3054" s="162"/>
      <c r="O3054" s="162">
        <v>1</v>
      </c>
      <c r="P3054" s="162"/>
      <c r="Q3054" s="162"/>
      <c r="R3054" s="162"/>
      <c r="S3054" s="162">
        <v>1</v>
      </c>
      <c r="T3054" s="162"/>
      <c r="U3054" s="162"/>
      <c r="V3054" s="162"/>
      <c r="W3054" s="162">
        <v>1</v>
      </c>
      <c r="X3054" s="162"/>
      <c r="Y3054" s="162"/>
      <c r="Z3054" s="162"/>
      <c r="AA3054" s="162">
        <v>1</v>
      </c>
      <c r="AB3054" s="162"/>
      <c r="AC3054" s="162"/>
      <c r="AD3054" s="162"/>
      <c r="AE3054" s="162"/>
      <c r="AF3054" s="162"/>
      <c r="AG3054" s="162">
        <v>1</v>
      </c>
      <c r="AH3054" s="162"/>
      <c r="AI3054" s="162"/>
      <c r="AJ3054" s="162"/>
      <c r="AK3054" s="162"/>
      <c r="AL3054" s="162"/>
      <c r="AM3054" s="162">
        <v>4</v>
      </c>
      <c r="AN3054" s="162"/>
      <c r="AO3054" s="162"/>
      <c r="AP3054" s="162"/>
      <c r="AQ3054" s="162"/>
      <c r="AR3054" s="162"/>
      <c r="AS3054" s="162">
        <v>4</v>
      </c>
      <c r="AT3054" s="162">
        <v>1</v>
      </c>
      <c r="AU3054" s="162">
        <v>1</v>
      </c>
      <c r="AV3054" s="162"/>
      <c r="AW3054" s="162"/>
      <c r="AX3054" s="162"/>
      <c r="AY3054" s="162"/>
      <c r="AZ3054" s="162">
        <v>1</v>
      </c>
      <c r="BA3054" s="162">
        <v>1</v>
      </c>
      <c r="BB3054" s="162">
        <v>1</v>
      </c>
      <c r="BC3054" s="162">
        <v>1</v>
      </c>
      <c r="BD3054" s="162">
        <v>1</v>
      </c>
      <c r="BE3054" s="162">
        <v>2</v>
      </c>
      <c r="BF3054" s="162"/>
      <c r="BG3054" s="162"/>
      <c r="BH3054" s="162"/>
      <c r="BI3054" s="162"/>
      <c r="BJ3054" s="162">
        <v>1</v>
      </c>
      <c r="BK3054" s="162"/>
      <c r="BL3054" s="162"/>
      <c r="BM3054" s="162"/>
      <c r="BN3054" s="162"/>
    </row>
    <row r="3055" spans="1:66" x14ac:dyDescent="0.2">
      <c r="A3055" s="57">
        <v>422</v>
      </c>
      <c r="B3055" s="162" t="s">
        <v>3655</v>
      </c>
      <c r="C3055" s="195">
        <v>44682.645682870374</v>
      </c>
      <c r="D3055" s="55">
        <v>280</v>
      </c>
      <c r="I3055" s="46" t="s">
        <v>839</v>
      </c>
      <c r="J3055" s="162">
        <v>1</v>
      </c>
      <c r="K3055" s="162">
        <v>1</v>
      </c>
      <c r="L3055" s="162"/>
      <c r="M3055" s="162"/>
      <c r="N3055" s="162"/>
      <c r="O3055" s="162">
        <v>2</v>
      </c>
      <c r="P3055" s="162"/>
      <c r="Q3055" s="162"/>
      <c r="R3055" s="162"/>
      <c r="S3055" s="162">
        <v>1</v>
      </c>
      <c r="T3055" s="162"/>
      <c r="U3055" s="162"/>
      <c r="V3055" s="162"/>
      <c r="W3055" s="162">
        <v>1</v>
      </c>
      <c r="X3055" s="162"/>
      <c r="Y3055" s="162"/>
      <c r="Z3055" s="162"/>
      <c r="AA3055" s="162">
        <v>2</v>
      </c>
      <c r="AB3055" s="162"/>
      <c r="AC3055" s="162"/>
      <c r="AD3055" s="162"/>
      <c r="AE3055" s="162"/>
      <c r="AF3055" s="162"/>
      <c r="AG3055" s="162">
        <v>2</v>
      </c>
      <c r="AH3055" s="162"/>
      <c r="AI3055" s="162"/>
      <c r="AJ3055" s="162"/>
      <c r="AK3055" s="162"/>
      <c r="AL3055" s="162"/>
      <c r="AM3055" s="162">
        <v>1</v>
      </c>
      <c r="AN3055" s="162">
        <v>2</v>
      </c>
      <c r="AO3055" s="162">
        <v>2</v>
      </c>
      <c r="AP3055" s="162">
        <v>2</v>
      </c>
      <c r="AQ3055" s="162">
        <v>2</v>
      </c>
      <c r="AR3055" s="162">
        <v>2</v>
      </c>
      <c r="AS3055" s="162">
        <v>3</v>
      </c>
      <c r="AT3055" s="162">
        <v>3</v>
      </c>
      <c r="AU3055" s="162">
        <v>1</v>
      </c>
      <c r="AV3055" s="162"/>
      <c r="AW3055" s="162"/>
      <c r="AX3055" s="162"/>
      <c r="AY3055" s="162"/>
      <c r="AZ3055" s="162">
        <v>1</v>
      </c>
      <c r="BA3055" s="162">
        <v>1</v>
      </c>
      <c r="BB3055" s="162">
        <v>1</v>
      </c>
      <c r="BC3055" s="162">
        <v>1</v>
      </c>
      <c r="BD3055" s="162">
        <v>1</v>
      </c>
      <c r="BE3055" s="162">
        <v>3</v>
      </c>
      <c r="BF3055" s="162">
        <v>2</v>
      </c>
      <c r="BG3055" s="162">
        <v>2</v>
      </c>
      <c r="BH3055" s="162">
        <v>1</v>
      </c>
      <c r="BI3055" s="162">
        <v>2</v>
      </c>
      <c r="BJ3055" s="162">
        <v>2</v>
      </c>
      <c r="BK3055" s="162"/>
      <c r="BL3055" s="162"/>
      <c r="BM3055" s="162"/>
      <c r="BN3055" s="162"/>
    </row>
    <row r="3056" spans="1:66" x14ac:dyDescent="0.2">
      <c r="C3056" s="195">
        <v>44748</v>
      </c>
      <c r="D3056" s="55">
        <v>280</v>
      </c>
      <c r="E3056" s="55" t="s">
        <v>5471</v>
      </c>
      <c r="F3056" s="55" t="s">
        <v>244</v>
      </c>
      <c r="G3056" s="55" t="s">
        <v>767</v>
      </c>
      <c r="H3056" s="50" t="s">
        <v>5472</v>
      </c>
    </row>
    <row r="3057" spans="1:9" x14ac:dyDescent="0.2">
      <c r="A3057" s="57">
        <v>722</v>
      </c>
      <c r="B3057" t="s">
        <v>836</v>
      </c>
      <c r="C3057" s="195">
        <v>44755</v>
      </c>
      <c r="D3057" s="55">
        <v>280</v>
      </c>
      <c r="E3057" s="55" t="s">
        <v>5473</v>
      </c>
      <c r="F3057" s="55" t="s">
        <v>219</v>
      </c>
      <c r="G3057" s="55" t="s">
        <v>223</v>
      </c>
      <c r="H3057" s="50" t="s">
        <v>224</v>
      </c>
      <c r="I3057" s="46" t="s">
        <v>837</v>
      </c>
    </row>
    <row r="3058" spans="1:9" x14ac:dyDescent="0.2">
      <c r="C3058" s="195">
        <v>44755</v>
      </c>
      <c r="D3058" s="55">
        <v>260</v>
      </c>
      <c r="E3058" s="55" t="s">
        <v>5474</v>
      </c>
      <c r="F3058" s="55" t="s">
        <v>231</v>
      </c>
      <c r="G3058" s="55" t="s">
        <v>2603</v>
      </c>
      <c r="H3058" s="50" t="s">
        <v>5475</v>
      </c>
    </row>
    <row r="3059" spans="1:9" x14ac:dyDescent="0.2">
      <c r="C3059" s="195">
        <v>44763</v>
      </c>
      <c r="D3059" s="55">
        <v>280</v>
      </c>
      <c r="E3059" s="55" t="s">
        <v>5476</v>
      </c>
      <c r="F3059" s="55" t="s">
        <v>196</v>
      </c>
      <c r="G3059" s="55" t="s">
        <v>415</v>
      </c>
      <c r="H3059" s="50" t="s">
        <v>5477</v>
      </c>
    </row>
    <row r="3060" spans="1:9" x14ac:dyDescent="0.2">
      <c r="C3060" s="195">
        <v>44753</v>
      </c>
      <c r="D3060" s="55">
        <v>280</v>
      </c>
      <c r="E3060" s="55" t="s">
        <v>5478</v>
      </c>
      <c r="F3060" s="55" t="s">
        <v>263</v>
      </c>
      <c r="G3060" s="55" t="s">
        <v>1005</v>
      </c>
      <c r="H3060" s="50" t="s">
        <v>5479</v>
      </c>
    </row>
    <row r="3061" spans="1:9" x14ac:dyDescent="0.2">
      <c r="C3061" s="195">
        <v>44750</v>
      </c>
      <c r="D3061" s="55">
        <v>260</v>
      </c>
      <c r="E3061" s="55" t="s">
        <v>5480</v>
      </c>
      <c r="F3061" s="55" t="s">
        <v>244</v>
      </c>
      <c r="G3061" s="55" t="s">
        <v>696</v>
      </c>
      <c r="H3061" s="50" t="s">
        <v>5481</v>
      </c>
    </row>
    <row r="3062" spans="1:9" x14ac:dyDescent="0.2">
      <c r="C3062" s="195">
        <v>44743</v>
      </c>
      <c r="D3062" s="55">
        <v>260</v>
      </c>
      <c r="E3062" s="55" t="s">
        <v>5482</v>
      </c>
      <c r="F3062" s="55" t="s">
        <v>206</v>
      </c>
      <c r="G3062" s="55" t="s">
        <v>548</v>
      </c>
      <c r="H3062" s="50" t="s">
        <v>5483</v>
      </c>
    </row>
    <row r="3063" spans="1:9" x14ac:dyDescent="0.2">
      <c r="C3063" s="195">
        <v>44750</v>
      </c>
      <c r="D3063" s="55">
        <v>280</v>
      </c>
      <c r="E3063" s="55" t="s">
        <v>5484</v>
      </c>
      <c r="F3063" s="55" t="s">
        <v>210</v>
      </c>
      <c r="G3063" s="55" t="s">
        <v>383</v>
      </c>
      <c r="H3063" s="50" t="s">
        <v>5485</v>
      </c>
    </row>
    <row r="3064" spans="1:9" x14ac:dyDescent="0.2">
      <c r="C3064" s="195">
        <v>44747</v>
      </c>
      <c r="D3064" s="55">
        <v>260</v>
      </c>
      <c r="E3064" s="55" t="s">
        <v>5486</v>
      </c>
      <c r="F3064" s="55" t="s">
        <v>210</v>
      </c>
      <c r="G3064" s="55" t="s">
        <v>1572</v>
      </c>
      <c r="H3064" s="50" t="s">
        <v>5487</v>
      </c>
    </row>
    <row r="3065" spans="1:9" x14ac:dyDescent="0.2">
      <c r="C3065" s="195">
        <v>44760</v>
      </c>
      <c r="D3065" s="55">
        <v>280</v>
      </c>
      <c r="E3065" s="55" t="s">
        <v>5488</v>
      </c>
      <c r="F3065" s="55" t="s">
        <v>390</v>
      </c>
      <c r="G3065" s="55" t="s">
        <v>490</v>
      </c>
      <c r="H3065" s="50" t="s">
        <v>5489</v>
      </c>
    </row>
    <row r="3066" spans="1:9" x14ac:dyDescent="0.2">
      <c r="C3066" s="195">
        <v>44757</v>
      </c>
      <c r="D3066" s="55">
        <v>280</v>
      </c>
      <c r="E3066" s="55" t="s">
        <v>5490</v>
      </c>
      <c r="F3066" s="55" t="s">
        <v>231</v>
      </c>
      <c r="G3066" s="55" t="s">
        <v>1241</v>
      </c>
      <c r="H3066" s="50" t="s">
        <v>5491</v>
      </c>
    </row>
    <row r="3067" spans="1:9" x14ac:dyDescent="0.2">
      <c r="C3067" s="195">
        <v>44763</v>
      </c>
      <c r="D3067" s="55">
        <v>260</v>
      </c>
      <c r="E3067" s="55" t="s">
        <v>5492</v>
      </c>
      <c r="F3067" s="55" t="s">
        <v>231</v>
      </c>
      <c r="G3067" s="55" t="s">
        <v>2603</v>
      </c>
      <c r="H3067" s="50" t="s">
        <v>5493</v>
      </c>
    </row>
    <row r="3068" spans="1:9" x14ac:dyDescent="0.2">
      <c r="C3068" s="195">
        <v>44763</v>
      </c>
      <c r="D3068" s="55">
        <v>260</v>
      </c>
      <c r="E3068" s="55" t="s">
        <v>5494</v>
      </c>
      <c r="F3068" s="55" t="s">
        <v>272</v>
      </c>
      <c r="G3068" s="55" t="s">
        <v>366</v>
      </c>
      <c r="H3068" s="50" t="s">
        <v>5495</v>
      </c>
    </row>
    <row r="3069" spans="1:9" x14ac:dyDescent="0.2">
      <c r="C3069" s="195">
        <v>44764</v>
      </c>
      <c r="D3069" s="55">
        <v>280</v>
      </c>
      <c r="E3069" s="55" t="s">
        <v>5496</v>
      </c>
      <c r="F3069" s="55" t="s">
        <v>210</v>
      </c>
      <c r="G3069" s="55" t="s">
        <v>235</v>
      </c>
      <c r="H3069" s="50" t="s">
        <v>5497</v>
      </c>
    </row>
    <row r="3070" spans="1:9" x14ac:dyDescent="0.2">
      <c r="A3070" s="57">
        <v>722</v>
      </c>
      <c r="B3070" t="s">
        <v>836</v>
      </c>
      <c r="C3070" s="195">
        <v>44750</v>
      </c>
      <c r="D3070" s="55">
        <v>260</v>
      </c>
      <c r="E3070" s="55" t="s">
        <v>5498</v>
      </c>
      <c r="F3070" s="55" t="s">
        <v>244</v>
      </c>
      <c r="G3070" s="55" t="s">
        <v>260</v>
      </c>
      <c r="H3070" s="50" t="s">
        <v>224</v>
      </c>
      <c r="I3070" s="46" t="s">
        <v>837</v>
      </c>
    </row>
    <row r="3071" spans="1:9" x14ac:dyDescent="0.2">
      <c r="C3071" s="195">
        <v>44767</v>
      </c>
      <c r="D3071" s="55">
        <v>260</v>
      </c>
      <c r="E3071" s="55" t="s">
        <v>5499</v>
      </c>
      <c r="F3071" s="55" t="s">
        <v>390</v>
      </c>
      <c r="G3071" s="55" t="s">
        <v>779</v>
      </c>
      <c r="H3071" s="50" t="s">
        <v>5500</v>
      </c>
    </row>
    <row r="3072" spans="1:9" x14ac:dyDescent="0.2">
      <c r="C3072" s="195">
        <v>44748</v>
      </c>
      <c r="D3072" s="55">
        <v>260</v>
      </c>
      <c r="E3072" s="55" t="s">
        <v>5501</v>
      </c>
      <c r="F3072" s="55" t="s">
        <v>263</v>
      </c>
      <c r="G3072" s="55" t="s">
        <v>413</v>
      </c>
      <c r="H3072" s="50" t="s">
        <v>224</v>
      </c>
    </row>
    <row r="3073" spans="3:8" x14ac:dyDescent="0.2">
      <c r="C3073" s="195">
        <v>44748</v>
      </c>
      <c r="D3073" s="55">
        <v>280</v>
      </c>
      <c r="E3073" s="55" t="s">
        <v>5502</v>
      </c>
      <c r="F3073" s="55" t="s">
        <v>263</v>
      </c>
      <c r="G3073" s="55" t="s">
        <v>806</v>
      </c>
      <c r="H3073" s="50" t="s">
        <v>5503</v>
      </c>
    </row>
    <row r="3074" spans="3:8" x14ac:dyDescent="0.2">
      <c r="C3074" s="195">
        <v>44755</v>
      </c>
      <c r="D3074" s="55">
        <v>280</v>
      </c>
      <c r="E3074" s="55" t="s">
        <v>5504</v>
      </c>
      <c r="F3074" s="55" t="s">
        <v>231</v>
      </c>
      <c r="G3074" s="55" t="s">
        <v>255</v>
      </c>
      <c r="H3074" s="50" t="s">
        <v>5505</v>
      </c>
    </row>
    <row r="3075" spans="3:8" x14ac:dyDescent="0.2">
      <c r="C3075" s="195">
        <v>44760</v>
      </c>
      <c r="D3075" s="55">
        <v>280</v>
      </c>
      <c r="E3075" s="55" t="s">
        <v>5506</v>
      </c>
      <c r="F3075" s="55" t="s">
        <v>263</v>
      </c>
      <c r="G3075" s="55" t="s">
        <v>506</v>
      </c>
      <c r="H3075" s="50" t="s">
        <v>5507</v>
      </c>
    </row>
    <row r="3076" spans="3:8" x14ac:dyDescent="0.2">
      <c r="C3076" s="195">
        <v>44757</v>
      </c>
      <c r="D3076" s="55">
        <v>280</v>
      </c>
      <c r="E3076" s="55" t="s">
        <v>5508</v>
      </c>
      <c r="F3076" s="55" t="s">
        <v>267</v>
      </c>
      <c r="G3076" s="55" t="s">
        <v>1109</v>
      </c>
    </row>
    <row r="3077" spans="3:8" x14ac:dyDescent="0.2">
      <c r="C3077" s="195">
        <v>44771</v>
      </c>
      <c r="D3077" s="55">
        <v>280</v>
      </c>
      <c r="E3077" s="55" t="s">
        <v>5509</v>
      </c>
      <c r="F3077" s="55" t="s">
        <v>244</v>
      </c>
      <c r="G3077" s="55" t="s">
        <v>393</v>
      </c>
      <c r="H3077" s="50" t="s">
        <v>5510</v>
      </c>
    </row>
    <row r="3078" spans="3:8" x14ac:dyDescent="0.2">
      <c r="C3078" s="195">
        <v>44743</v>
      </c>
      <c r="D3078" s="55">
        <v>260</v>
      </c>
      <c r="E3078" s="55" t="s">
        <v>5511</v>
      </c>
      <c r="F3078" s="55" t="s">
        <v>202</v>
      </c>
      <c r="G3078" s="55" t="s">
        <v>1146</v>
      </c>
      <c r="H3078" s="50" t="s">
        <v>5512</v>
      </c>
    </row>
    <row r="3079" spans="3:8" x14ac:dyDescent="0.2">
      <c r="C3079" s="195">
        <v>44749</v>
      </c>
      <c r="D3079" s="55">
        <v>260</v>
      </c>
      <c r="E3079" s="55" t="s">
        <v>5513</v>
      </c>
      <c r="F3079" s="55" t="s">
        <v>202</v>
      </c>
      <c r="G3079" s="55" t="s">
        <v>1146</v>
      </c>
      <c r="H3079" s="50" t="s">
        <v>5514</v>
      </c>
    </row>
    <row r="3080" spans="3:8" x14ac:dyDescent="0.2">
      <c r="C3080" s="195">
        <v>44771</v>
      </c>
      <c r="D3080" s="55">
        <v>260</v>
      </c>
      <c r="E3080" s="55" t="s">
        <v>5515</v>
      </c>
      <c r="F3080" s="55" t="s">
        <v>219</v>
      </c>
      <c r="G3080" s="55" t="s">
        <v>3710</v>
      </c>
      <c r="H3080" s="50" t="s">
        <v>5516</v>
      </c>
    </row>
    <row r="3081" spans="3:8" x14ac:dyDescent="0.2">
      <c r="C3081" s="195">
        <v>44768</v>
      </c>
      <c r="D3081" s="55">
        <v>260</v>
      </c>
      <c r="E3081" s="55" t="s">
        <v>5517</v>
      </c>
      <c r="F3081" s="55" t="s">
        <v>390</v>
      </c>
      <c r="G3081" s="55" t="s">
        <v>408</v>
      </c>
    </row>
    <row r="3082" spans="3:8" x14ac:dyDescent="0.2">
      <c r="C3082" s="195">
        <v>44749</v>
      </c>
      <c r="D3082" s="55">
        <v>260</v>
      </c>
      <c r="E3082" s="55" t="s">
        <v>5518</v>
      </c>
      <c r="F3082" s="55" t="s">
        <v>231</v>
      </c>
      <c r="G3082" s="55" t="s">
        <v>2603</v>
      </c>
      <c r="H3082" s="50" t="s">
        <v>5519</v>
      </c>
    </row>
    <row r="3083" spans="3:8" x14ac:dyDescent="0.2">
      <c r="C3083" s="195">
        <v>44763</v>
      </c>
      <c r="D3083" s="55">
        <v>260</v>
      </c>
      <c r="E3083" s="55" t="s">
        <v>5520</v>
      </c>
      <c r="F3083" s="55" t="s">
        <v>231</v>
      </c>
      <c r="G3083" s="55" t="s">
        <v>2603</v>
      </c>
      <c r="H3083" s="50" t="s">
        <v>5521</v>
      </c>
    </row>
    <row r="3084" spans="3:8" x14ac:dyDescent="0.2">
      <c r="C3084" s="195">
        <v>44748</v>
      </c>
      <c r="D3084" s="55">
        <v>260</v>
      </c>
      <c r="E3084" s="55" t="s">
        <v>5522</v>
      </c>
      <c r="F3084" s="55" t="s">
        <v>231</v>
      </c>
      <c r="G3084" s="55" t="s">
        <v>421</v>
      </c>
      <c r="H3084" s="50" t="s">
        <v>5523</v>
      </c>
    </row>
    <row r="3085" spans="3:8" x14ac:dyDescent="0.2">
      <c r="C3085" s="195">
        <v>44743</v>
      </c>
      <c r="D3085" s="55">
        <v>280</v>
      </c>
      <c r="E3085" s="55" t="s">
        <v>5524</v>
      </c>
      <c r="F3085" s="55" t="s">
        <v>231</v>
      </c>
      <c r="G3085" s="55" t="s">
        <v>2603</v>
      </c>
      <c r="H3085" s="50" t="s">
        <v>5525</v>
      </c>
    </row>
    <row r="3086" spans="3:8" x14ac:dyDescent="0.2">
      <c r="C3086" s="195">
        <v>44769</v>
      </c>
      <c r="D3086" s="55">
        <v>280</v>
      </c>
      <c r="E3086" s="55" t="s">
        <v>5526</v>
      </c>
      <c r="F3086" s="55" t="s">
        <v>210</v>
      </c>
      <c r="G3086" s="55" t="s">
        <v>211</v>
      </c>
      <c r="H3086" s="50" t="s">
        <v>224</v>
      </c>
    </row>
    <row r="3087" spans="3:8" x14ac:dyDescent="0.2">
      <c r="C3087" s="195">
        <v>44755</v>
      </c>
      <c r="D3087" s="55">
        <v>260</v>
      </c>
      <c r="E3087" s="55" t="s">
        <v>5527</v>
      </c>
      <c r="F3087" s="55" t="s">
        <v>272</v>
      </c>
      <c r="G3087" s="55" t="s">
        <v>3408</v>
      </c>
      <c r="H3087" s="50" t="s">
        <v>5528</v>
      </c>
    </row>
    <row r="3088" spans="3:8" x14ac:dyDescent="0.2">
      <c r="C3088" s="195">
        <v>44753</v>
      </c>
      <c r="D3088" s="55">
        <v>280</v>
      </c>
      <c r="E3088" s="55" t="s">
        <v>5529</v>
      </c>
      <c r="F3088" s="55" t="s">
        <v>231</v>
      </c>
      <c r="G3088" s="55" t="s">
        <v>435</v>
      </c>
      <c r="H3088" s="50" t="s">
        <v>5530</v>
      </c>
    </row>
    <row r="3089" spans="3:8" x14ac:dyDescent="0.2">
      <c r="C3089" s="195">
        <v>44761</v>
      </c>
      <c r="D3089" s="55">
        <v>280</v>
      </c>
      <c r="E3089" s="55" t="s">
        <v>5531</v>
      </c>
      <c r="F3089" s="55" t="s">
        <v>390</v>
      </c>
      <c r="G3089" s="55" t="s">
        <v>408</v>
      </c>
      <c r="H3089" s="50" t="s">
        <v>224</v>
      </c>
    </row>
    <row r="3090" spans="3:8" x14ac:dyDescent="0.2">
      <c r="C3090" s="195">
        <v>44760</v>
      </c>
      <c r="D3090" s="55">
        <v>280</v>
      </c>
      <c r="E3090" s="55" t="s">
        <v>5532</v>
      </c>
      <c r="F3090" s="55" t="s">
        <v>202</v>
      </c>
      <c r="G3090" s="55" t="s">
        <v>2033</v>
      </c>
      <c r="H3090" s="50" t="s">
        <v>5533</v>
      </c>
    </row>
    <row r="3091" spans="3:8" x14ac:dyDescent="0.2">
      <c r="C3091" s="195">
        <v>44768</v>
      </c>
      <c r="D3091" s="55">
        <v>280</v>
      </c>
      <c r="E3091" s="55" t="s">
        <v>5534</v>
      </c>
      <c r="F3091" s="55" t="s">
        <v>210</v>
      </c>
      <c r="G3091" s="55" t="s">
        <v>2684</v>
      </c>
      <c r="H3091" s="50" t="s">
        <v>5535</v>
      </c>
    </row>
    <row r="3092" spans="3:8" x14ac:dyDescent="0.2">
      <c r="C3092" s="195">
        <v>44743</v>
      </c>
      <c r="D3092" s="55">
        <v>260</v>
      </c>
      <c r="E3092" s="55" t="s">
        <v>5536</v>
      </c>
      <c r="F3092" s="55" t="s">
        <v>202</v>
      </c>
      <c r="G3092" s="55" t="s">
        <v>1146</v>
      </c>
      <c r="H3092" s="50" t="s">
        <v>5537</v>
      </c>
    </row>
    <row r="3093" spans="3:8" x14ac:dyDescent="0.2">
      <c r="C3093" s="195">
        <v>44747</v>
      </c>
      <c r="D3093" s="55">
        <v>280</v>
      </c>
      <c r="E3093" s="55" t="s">
        <v>5538</v>
      </c>
      <c r="F3093" s="55" t="s">
        <v>231</v>
      </c>
      <c r="G3093" s="55" t="s">
        <v>648</v>
      </c>
      <c r="H3093" s="50" t="s">
        <v>5539</v>
      </c>
    </row>
    <row r="3094" spans="3:8" x14ac:dyDescent="0.2">
      <c r="C3094" s="195">
        <v>44771</v>
      </c>
      <c r="D3094" s="55">
        <v>260</v>
      </c>
      <c r="E3094" s="55" t="s">
        <v>5540</v>
      </c>
      <c r="F3094" s="55" t="s">
        <v>390</v>
      </c>
      <c r="G3094" s="55" t="s">
        <v>408</v>
      </c>
      <c r="H3094" s="50" t="s">
        <v>5541</v>
      </c>
    </row>
    <row r="3095" spans="3:8" x14ac:dyDescent="0.2">
      <c r="C3095" s="195">
        <v>44747</v>
      </c>
      <c r="D3095" s="55">
        <v>280</v>
      </c>
      <c r="E3095" s="55" t="s">
        <v>5542</v>
      </c>
      <c r="F3095" s="55" t="s">
        <v>231</v>
      </c>
      <c r="G3095" s="55" t="s">
        <v>1098</v>
      </c>
      <c r="H3095" s="50" t="s">
        <v>224</v>
      </c>
    </row>
    <row r="3096" spans="3:8" x14ac:dyDescent="0.2">
      <c r="C3096" s="195">
        <v>44755</v>
      </c>
      <c r="D3096" s="55">
        <v>260</v>
      </c>
      <c r="E3096" s="55" t="s">
        <v>5543</v>
      </c>
      <c r="F3096" s="55" t="s">
        <v>206</v>
      </c>
      <c r="G3096" s="55" t="s">
        <v>548</v>
      </c>
      <c r="H3096" s="50" t="s">
        <v>5544</v>
      </c>
    </row>
    <row r="3097" spans="3:8" x14ac:dyDescent="0.2">
      <c r="C3097" s="195">
        <v>44770</v>
      </c>
      <c r="D3097" s="55">
        <v>280</v>
      </c>
      <c r="E3097" s="55" t="s">
        <v>5545</v>
      </c>
      <c r="F3097" s="55" t="s">
        <v>267</v>
      </c>
      <c r="G3097" s="55" t="s">
        <v>357</v>
      </c>
      <c r="H3097" s="50" t="s">
        <v>5546</v>
      </c>
    </row>
    <row r="3098" spans="3:8" x14ac:dyDescent="0.2">
      <c r="C3098" s="195">
        <v>44762</v>
      </c>
      <c r="D3098" s="55">
        <v>280</v>
      </c>
      <c r="E3098" s="55" t="s">
        <v>5547</v>
      </c>
      <c r="F3098" s="55" t="s">
        <v>192</v>
      </c>
      <c r="G3098" s="55" t="s">
        <v>487</v>
      </c>
      <c r="H3098" s="50" t="s">
        <v>5548</v>
      </c>
    </row>
    <row r="3099" spans="3:8" x14ac:dyDescent="0.2">
      <c r="C3099" s="195">
        <v>44762</v>
      </c>
      <c r="D3099" s="55">
        <v>260</v>
      </c>
      <c r="E3099" s="55" t="s">
        <v>5549</v>
      </c>
      <c r="F3099" s="55" t="s">
        <v>390</v>
      </c>
      <c r="G3099" s="55" t="s">
        <v>922</v>
      </c>
      <c r="H3099" s="50" t="s">
        <v>5550</v>
      </c>
    </row>
    <row r="3100" spans="3:8" x14ac:dyDescent="0.2">
      <c r="C3100" s="195">
        <v>44767</v>
      </c>
      <c r="D3100" s="55">
        <v>280</v>
      </c>
      <c r="E3100" s="55" t="s">
        <v>5551</v>
      </c>
      <c r="F3100" s="55" t="s">
        <v>244</v>
      </c>
      <c r="G3100" s="55" t="s">
        <v>294</v>
      </c>
      <c r="H3100" s="50" t="s">
        <v>5552</v>
      </c>
    </row>
    <row r="3101" spans="3:8" x14ac:dyDescent="0.2">
      <c r="C3101" s="195">
        <v>44754</v>
      </c>
      <c r="D3101" s="55">
        <v>280</v>
      </c>
      <c r="E3101" s="55" t="s">
        <v>5553</v>
      </c>
      <c r="F3101" s="55" t="s">
        <v>390</v>
      </c>
      <c r="G3101" s="55" t="s">
        <v>391</v>
      </c>
      <c r="H3101" s="50" t="s">
        <v>5554</v>
      </c>
    </row>
    <row r="3102" spans="3:8" x14ac:dyDescent="0.2">
      <c r="C3102" s="195">
        <v>44757</v>
      </c>
      <c r="D3102" s="55">
        <v>260</v>
      </c>
      <c r="E3102" s="55" t="s">
        <v>5555</v>
      </c>
      <c r="F3102" s="55" t="s">
        <v>210</v>
      </c>
      <c r="G3102" s="55" t="s">
        <v>383</v>
      </c>
      <c r="H3102" s="50" t="s">
        <v>5556</v>
      </c>
    </row>
    <row r="3103" spans="3:8" x14ac:dyDescent="0.2">
      <c r="C3103" s="195">
        <v>44771</v>
      </c>
      <c r="D3103" s="55">
        <v>280</v>
      </c>
      <c r="E3103" s="55" t="s">
        <v>5557</v>
      </c>
      <c r="F3103" s="55" t="s">
        <v>210</v>
      </c>
      <c r="G3103" s="55" t="s">
        <v>1572</v>
      </c>
      <c r="H3103" s="50" t="s">
        <v>5558</v>
      </c>
    </row>
    <row r="3104" spans="3:8" x14ac:dyDescent="0.2">
      <c r="C3104" s="195">
        <v>44747</v>
      </c>
      <c r="D3104" s="55">
        <v>260</v>
      </c>
      <c r="E3104" s="55" t="s">
        <v>5559</v>
      </c>
      <c r="F3104" s="55" t="s">
        <v>291</v>
      </c>
      <c r="G3104" s="55" t="s">
        <v>1215</v>
      </c>
      <c r="H3104" s="50" t="s">
        <v>5560</v>
      </c>
    </row>
    <row r="3105" spans="1:62" x14ac:dyDescent="0.2">
      <c r="C3105" s="195">
        <v>44750</v>
      </c>
      <c r="D3105" s="55">
        <v>280</v>
      </c>
      <c r="E3105" s="55" t="s">
        <v>5561</v>
      </c>
      <c r="F3105" s="55" t="s">
        <v>244</v>
      </c>
      <c r="G3105" s="55" t="s">
        <v>696</v>
      </c>
      <c r="H3105" s="50" t="s">
        <v>5562</v>
      </c>
    </row>
    <row r="3106" spans="1:62" x14ac:dyDescent="0.2">
      <c r="A3106" s="57">
        <v>722</v>
      </c>
      <c r="B3106" t="s">
        <v>836</v>
      </c>
      <c r="C3106" s="195">
        <v>44748</v>
      </c>
      <c r="D3106" s="55">
        <v>260</v>
      </c>
      <c r="E3106" s="55" t="s">
        <v>5563</v>
      </c>
      <c r="F3106" s="55" t="s">
        <v>196</v>
      </c>
      <c r="G3106" s="55" t="s">
        <v>361</v>
      </c>
      <c r="I3106" s="46" t="s">
        <v>837</v>
      </c>
    </row>
    <row r="3107" spans="1:62" x14ac:dyDescent="0.2">
      <c r="C3107" s="195">
        <v>44761</v>
      </c>
      <c r="D3107" s="55">
        <v>280</v>
      </c>
      <c r="E3107" s="55" t="s">
        <v>5564</v>
      </c>
      <c r="F3107" s="55" t="s">
        <v>196</v>
      </c>
      <c r="G3107" s="55" t="s">
        <v>415</v>
      </c>
      <c r="H3107" s="50" t="s">
        <v>5565</v>
      </c>
    </row>
    <row r="3108" spans="1:62" x14ac:dyDescent="0.2">
      <c r="C3108" s="195">
        <v>44764</v>
      </c>
      <c r="D3108" s="55">
        <v>280</v>
      </c>
      <c r="E3108" s="55" t="s">
        <v>5566</v>
      </c>
      <c r="F3108" s="55" t="s">
        <v>263</v>
      </c>
      <c r="G3108" s="55" t="s">
        <v>579</v>
      </c>
      <c r="H3108" s="50" t="s">
        <v>224</v>
      </c>
    </row>
    <row r="3109" spans="1:62" x14ac:dyDescent="0.2">
      <c r="C3109" s="195">
        <v>44747</v>
      </c>
      <c r="D3109" s="55">
        <v>280</v>
      </c>
      <c r="E3109" s="55" t="s">
        <v>5567</v>
      </c>
      <c r="F3109" s="55" t="s">
        <v>202</v>
      </c>
      <c r="G3109" s="55" t="s">
        <v>321</v>
      </c>
      <c r="H3109" s="50" t="s">
        <v>5568</v>
      </c>
    </row>
    <row r="3110" spans="1:62" x14ac:dyDescent="0.2">
      <c r="C3110" s="195">
        <v>44771</v>
      </c>
      <c r="D3110" s="55">
        <v>280</v>
      </c>
      <c r="E3110" s="55" t="s">
        <v>5569</v>
      </c>
      <c r="F3110" s="55" t="s">
        <v>206</v>
      </c>
      <c r="G3110" s="55" t="s">
        <v>214</v>
      </c>
      <c r="H3110" s="50" t="s">
        <v>5570</v>
      </c>
    </row>
    <row r="3111" spans="1:62" x14ac:dyDescent="0.2">
      <c r="C3111" s="195">
        <v>44754</v>
      </c>
      <c r="D3111" s="55">
        <v>260</v>
      </c>
      <c r="E3111" s="55" t="s">
        <v>5571</v>
      </c>
      <c r="F3111" s="55" t="s">
        <v>206</v>
      </c>
      <c r="G3111" s="55" t="s">
        <v>758</v>
      </c>
      <c r="H3111" s="50" t="s">
        <v>5572</v>
      </c>
    </row>
    <row r="3112" spans="1:62" x14ac:dyDescent="0.2">
      <c r="C3112" s="195">
        <v>44771</v>
      </c>
      <c r="D3112" s="55">
        <v>280</v>
      </c>
      <c r="E3112" s="55" t="s">
        <v>5573</v>
      </c>
      <c r="F3112" s="55" t="s">
        <v>206</v>
      </c>
      <c r="G3112" s="55" t="s">
        <v>214</v>
      </c>
      <c r="H3112" s="50" t="s">
        <v>5574</v>
      </c>
    </row>
    <row r="3113" spans="1:62" x14ac:dyDescent="0.2">
      <c r="C3113" s="195">
        <v>44764</v>
      </c>
      <c r="D3113" s="55">
        <v>280</v>
      </c>
      <c r="E3113" s="55" t="s">
        <v>5575</v>
      </c>
      <c r="F3113" s="55" t="s">
        <v>390</v>
      </c>
      <c r="G3113" s="55" t="s">
        <v>391</v>
      </c>
      <c r="H3113" s="50" t="s">
        <v>5576</v>
      </c>
    </row>
    <row r="3114" spans="1:62" x14ac:dyDescent="0.2">
      <c r="C3114" s="195">
        <v>44771</v>
      </c>
      <c r="D3114" s="55">
        <v>280</v>
      </c>
      <c r="E3114" s="55" t="s">
        <v>5577</v>
      </c>
      <c r="F3114" s="55" t="s">
        <v>291</v>
      </c>
      <c r="G3114" s="55" t="s">
        <v>1247</v>
      </c>
      <c r="H3114" s="50" t="s">
        <v>5578</v>
      </c>
    </row>
    <row r="3115" spans="1:62" x14ac:dyDescent="0.2">
      <c r="C3115" s="195">
        <v>44761</v>
      </c>
      <c r="D3115" s="55">
        <v>260</v>
      </c>
      <c r="E3115" s="55" t="s">
        <v>5579</v>
      </c>
      <c r="F3115" s="55" t="s">
        <v>192</v>
      </c>
      <c r="G3115" s="55" t="s">
        <v>258</v>
      </c>
      <c r="H3115" s="50" t="s">
        <v>5580</v>
      </c>
    </row>
    <row r="3116" spans="1:62" x14ac:dyDescent="0.2">
      <c r="C3116" s="195">
        <v>44767</v>
      </c>
      <c r="D3116" s="55">
        <v>260</v>
      </c>
      <c r="E3116" s="55" t="s">
        <v>5581</v>
      </c>
      <c r="F3116" s="55" t="s">
        <v>219</v>
      </c>
      <c r="G3116" s="55" t="s">
        <v>3710</v>
      </c>
      <c r="H3116" s="50" t="s">
        <v>5582</v>
      </c>
    </row>
    <row r="3117" spans="1:62" x14ac:dyDescent="0.2">
      <c r="C3117" s="195">
        <v>44750</v>
      </c>
      <c r="D3117" s="55">
        <v>260</v>
      </c>
      <c r="E3117" s="55" t="s">
        <v>5583</v>
      </c>
      <c r="F3117" s="55" t="s">
        <v>244</v>
      </c>
      <c r="G3117" s="55" t="s">
        <v>696</v>
      </c>
      <c r="H3117" s="50" t="s">
        <v>5584</v>
      </c>
    </row>
    <row r="3118" spans="1:62" x14ac:dyDescent="0.2">
      <c r="C3118" s="195">
        <v>44748</v>
      </c>
      <c r="D3118" s="55">
        <v>280</v>
      </c>
      <c r="E3118" s="55" t="s">
        <v>5585</v>
      </c>
      <c r="F3118" s="55" t="s">
        <v>390</v>
      </c>
      <c r="G3118" s="55" t="s">
        <v>391</v>
      </c>
      <c r="H3118" s="50" t="s">
        <v>5586</v>
      </c>
    </row>
    <row r="3119" spans="1:62" x14ac:dyDescent="0.2">
      <c r="A3119" s="57">
        <v>722</v>
      </c>
      <c r="B3119" t="s">
        <v>836</v>
      </c>
      <c r="C3119" s="195">
        <v>44753</v>
      </c>
      <c r="D3119" s="55">
        <v>260</v>
      </c>
      <c r="E3119" s="55" t="s">
        <v>5587</v>
      </c>
      <c r="F3119" s="55" t="s">
        <v>202</v>
      </c>
      <c r="G3119" s="55" t="s">
        <v>344</v>
      </c>
      <c r="H3119" s="50" t="s">
        <v>224</v>
      </c>
      <c r="I3119" s="46" t="s">
        <v>839</v>
      </c>
      <c r="J3119" s="52">
        <v>1</v>
      </c>
      <c r="K3119" s="52">
        <v>1</v>
      </c>
      <c r="O3119" s="1">
        <v>1</v>
      </c>
      <c r="S3119" s="1">
        <v>1</v>
      </c>
      <c r="W3119" s="1">
        <v>1</v>
      </c>
      <c r="AA3119" s="1">
        <v>1</v>
      </c>
      <c r="AG3119">
        <v>1</v>
      </c>
      <c r="AM3119">
        <v>4</v>
      </c>
      <c r="AS3119">
        <v>4</v>
      </c>
      <c r="AT3119">
        <v>1</v>
      </c>
      <c r="AU3119">
        <v>1</v>
      </c>
      <c r="AZ3119">
        <v>1</v>
      </c>
      <c r="BA3119">
        <v>1</v>
      </c>
      <c r="BB3119">
        <v>1</v>
      </c>
      <c r="BC3119">
        <v>1</v>
      </c>
      <c r="BD3119">
        <v>1</v>
      </c>
      <c r="BE3119">
        <v>1</v>
      </c>
      <c r="BJ3119">
        <v>1</v>
      </c>
    </row>
    <row r="3120" spans="1:62" x14ac:dyDescent="0.2">
      <c r="C3120" s="195">
        <v>44750</v>
      </c>
      <c r="D3120" s="55">
        <v>280</v>
      </c>
      <c r="E3120" s="55" t="s">
        <v>5588</v>
      </c>
      <c r="F3120" s="55" t="s">
        <v>244</v>
      </c>
      <c r="G3120" s="55" t="s">
        <v>696</v>
      </c>
      <c r="H3120" s="50" t="s">
        <v>5589</v>
      </c>
    </row>
    <row r="3121" spans="1:9" x14ac:dyDescent="0.2">
      <c r="A3121" s="57">
        <v>722</v>
      </c>
      <c r="B3121" t="s">
        <v>836</v>
      </c>
      <c r="C3121" s="195">
        <v>44754</v>
      </c>
      <c r="D3121" s="55">
        <v>280</v>
      </c>
      <c r="E3121" s="55" t="s">
        <v>5590</v>
      </c>
      <c r="F3121" s="55" t="s">
        <v>390</v>
      </c>
      <c r="G3121" s="55" t="s">
        <v>391</v>
      </c>
      <c r="H3121" s="50" t="s">
        <v>224</v>
      </c>
      <c r="I3121" s="46" t="s">
        <v>837</v>
      </c>
    </row>
    <row r="3122" spans="1:9" x14ac:dyDescent="0.2">
      <c r="C3122" s="195">
        <v>44767</v>
      </c>
      <c r="D3122" s="55">
        <v>280</v>
      </c>
      <c r="E3122" s="55" t="s">
        <v>5591</v>
      </c>
      <c r="F3122" s="55" t="s">
        <v>219</v>
      </c>
      <c r="G3122" s="55" t="s">
        <v>220</v>
      </c>
      <c r="H3122" s="50" t="s">
        <v>5592</v>
      </c>
    </row>
    <row r="3123" spans="1:9" x14ac:dyDescent="0.2">
      <c r="C3123" s="195">
        <v>44749</v>
      </c>
      <c r="D3123" s="55">
        <v>280</v>
      </c>
      <c r="E3123" s="55" t="s">
        <v>5593</v>
      </c>
      <c r="F3123" s="55" t="s">
        <v>231</v>
      </c>
      <c r="G3123" s="55" t="s">
        <v>2088</v>
      </c>
      <c r="H3123" s="50" t="s">
        <v>5594</v>
      </c>
    </row>
    <row r="3124" spans="1:9" x14ac:dyDescent="0.2">
      <c r="C3124" s="195">
        <v>44755</v>
      </c>
      <c r="D3124" s="55">
        <v>260</v>
      </c>
      <c r="E3124" s="55" t="s">
        <v>5595</v>
      </c>
      <c r="F3124" s="55" t="s">
        <v>231</v>
      </c>
      <c r="G3124" s="55" t="s">
        <v>421</v>
      </c>
      <c r="H3124" s="50" t="s">
        <v>5596</v>
      </c>
    </row>
    <row r="3125" spans="1:9" x14ac:dyDescent="0.2">
      <c r="A3125" s="57">
        <v>722</v>
      </c>
      <c r="B3125" t="s">
        <v>836</v>
      </c>
      <c r="C3125" s="195">
        <v>44768</v>
      </c>
      <c r="D3125" s="55">
        <v>280</v>
      </c>
      <c r="E3125" s="55" t="s">
        <v>5597</v>
      </c>
      <c r="F3125" s="55" t="s">
        <v>210</v>
      </c>
      <c r="G3125" s="55" t="s">
        <v>496</v>
      </c>
      <c r="H3125" s="50" t="s">
        <v>224</v>
      </c>
      <c r="I3125" s="46" t="s">
        <v>837</v>
      </c>
    </row>
    <row r="3126" spans="1:9" x14ac:dyDescent="0.2">
      <c r="C3126" s="195">
        <v>44771</v>
      </c>
      <c r="D3126" s="55">
        <v>260</v>
      </c>
      <c r="E3126" s="55" t="s">
        <v>5598</v>
      </c>
      <c r="F3126" s="55" t="s">
        <v>390</v>
      </c>
      <c r="G3126" s="55" t="s">
        <v>656</v>
      </c>
      <c r="H3126" s="50" t="s">
        <v>224</v>
      </c>
    </row>
    <row r="3127" spans="1:9" x14ac:dyDescent="0.2">
      <c r="C3127" s="195">
        <v>44749</v>
      </c>
      <c r="D3127" s="55">
        <v>280</v>
      </c>
      <c r="E3127" s="55" t="s">
        <v>5599</v>
      </c>
      <c r="F3127" s="55" t="s">
        <v>244</v>
      </c>
      <c r="G3127" s="55" t="s">
        <v>696</v>
      </c>
      <c r="H3127" s="50" t="s">
        <v>224</v>
      </c>
    </row>
    <row r="3128" spans="1:9" x14ac:dyDescent="0.2">
      <c r="C3128" s="195">
        <v>44754</v>
      </c>
      <c r="D3128" s="55">
        <v>280</v>
      </c>
      <c r="E3128" s="55" t="s">
        <v>5600</v>
      </c>
      <c r="F3128" s="55" t="s">
        <v>210</v>
      </c>
      <c r="G3128" s="55" t="s">
        <v>1095</v>
      </c>
      <c r="H3128" s="50" t="s">
        <v>5601</v>
      </c>
    </row>
    <row r="3129" spans="1:9" x14ac:dyDescent="0.2">
      <c r="C3129" s="195">
        <v>44743</v>
      </c>
      <c r="D3129" s="55">
        <v>280</v>
      </c>
      <c r="E3129" s="55" t="s">
        <v>5602</v>
      </c>
      <c r="F3129" s="55" t="s">
        <v>231</v>
      </c>
      <c r="G3129" s="55" t="s">
        <v>3096</v>
      </c>
      <c r="H3129" s="50" t="s">
        <v>5603</v>
      </c>
    </row>
    <row r="3130" spans="1:9" x14ac:dyDescent="0.2">
      <c r="C3130" s="195">
        <v>44767</v>
      </c>
      <c r="D3130" s="55">
        <v>280</v>
      </c>
      <c r="E3130" s="55" t="s">
        <v>5604</v>
      </c>
      <c r="F3130" s="55" t="s">
        <v>263</v>
      </c>
      <c r="G3130" s="55" t="s">
        <v>506</v>
      </c>
      <c r="H3130" s="50" t="s">
        <v>224</v>
      </c>
    </row>
    <row r="3131" spans="1:9" x14ac:dyDescent="0.2">
      <c r="C3131" s="195">
        <v>44749</v>
      </c>
      <c r="D3131" s="55">
        <v>260</v>
      </c>
      <c r="E3131" s="55" t="s">
        <v>5048</v>
      </c>
      <c r="F3131" s="55" t="s">
        <v>231</v>
      </c>
      <c r="G3131" s="55" t="s">
        <v>782</v>
      </c>
      <c r="H3131" s="50" t="s">
        <v>5049</v>
      </c>
    </row>
    <row r="3132" spans="1:9" x14ac:dyDescent="0.2">
      <c r="C3132" s="195">
        <v>44771</v>
      </c>
      <c r="D3132" s="55">
        <v>280</v>
      </c>
      <c r="E3132" s="55" t="s">
        <v>5605</v>
      </c>
      <c r="F3132" s="55" t="s">
        <v>272</v>
      </c>
      <c r="G3132" s="55" t="s">
        <v>273</v>
      </c>
      <c r="H3132" s="50" t="s">
        <v>224</v>
      </c>
    </row>
    <row r="3133" spans="1:9" x14ac:dyDescent="0.2">
      <c r="C3133" s="195">
        <v>44771</v>
      </c>
      <c r="D3133" s="55">
        <v>280</v>
      </c>
      <c r="E3133" s="55" t="s">
        <v>5606</v>
      </c>
      <c r="F3133" s="55" t="s">
        <v>390</v>
      </c>
      <c r="G3133" s="55" t="s">
        <v>779</v>
      </c>
      <c r="H3133" s="50" t="s">
        <v>5607</v>
      </c>
    </row>
    <row r="3134" spans="1:9" x14ac:dyDescent="0.2">
      <c r="C3134" s="195">
        <v>44760</v>
      </c>
      <c r="D3134" s="55">
        <v>280</v>
      </c>
      <c r="E3134" s="55" t="s">
        <v>5608</v>
      </c>
      <c r="F3134" s="55" t="s">
        <v>263</v>
      </c>
      <c r="G3134" s="55" t="s">
        <v>506</v>
      </c>
      <c r="H3134" s="50" t="s">
        <v>5609</v>
      </c>
    </row>
    <row r="3135" spans="1:9" x14ac:dyDescent="0.2">
      <c r="C3135" s="195">
        <v>44769</v>
      </c>
      <c r="D3135" s="55">
        <v>260</v>
      </c>
      <c r="E3135" s="55" t="s">
        <v>5610</v>
      </c>
      <c r="F3135" s="55" t="s">
        <v>192</v>
      </c>
      <c r="G3135" s="55" t="s">
        <v>640</v>
      </c>
      <c r="H3135" s="50" t="s">
        <v>5611</v>
      </c>
    </row>
    <row r="3136" spans="1:9" x14ac:dyDescent="0.2">
      <c r="C3136" s="195">
        <v>44767</v>
      </c>
      <c r="D3136" s="55">
        <v>280</v>
      </c>
      <c r="E3136" s="55" t="s">
        <v>5612</v>
      </c>
      <c r="F3136" s="55" t="s">
        <v>291</v>
      </c>
      <c r="G3136" s="55" t="s">
        <v>480</v>
      </c>
      <c r="H3136" s="50" t="s">
        <v>5613</v>
      </c>
    </row>
    <row r="3137" spans="1:62" x14ac:dyDescent="0.2">
      <c r="C3137" s="195">
        <v>44754</v>
      </c>
      <c r="D3137" s="55">
        <v>280</v>
      </c>
      <c r="E3137" s="55" t="s">
        <v>5614</v>
      </c>
      <c r="F3137" s="55" t="s">
        <v>210</v>
      </c>
      <c r="G3137" s="55" t="s">
        <v>508</v>
      </c>
      <c r="H3137" s="50" t="s">
        <v>5615</v>
      </c>
    </row>
    <row r="3138" spans="1:62" x14ac:dyDescent="0.2">
      <c r="C3138" s="195">
        <v>44767</v>
      </c>
      <c r="D3138" s="55">
        <v>280</v>
      </c>
      <c r="E3138" s="55" t="s">
        <v>5616</v>
      </c>
      <c r="F3138" s="55" t="s">
        <v>244</v>
      </c>
      <c r="G3138" s="55" t="s">
        <v>294</v>
      </c>
      <c r="H3138" s="50" t="s">
        <v>224</v>
      </c>
    </row>
    <row r="3139" spans="1:62" x14ac:dyDescent="0.2">
      <c r="C3139" s="195">
        <v>44755</v>
      </c>
      <c r="D3139" s="55">
        <v>260</v>
      </c>
      <c r="E3139" s="55" t="s">
        <v>5617</v>
      </c>
      <c r="F3139" s="55" t="s">
        <v>390</v>
      </c>
      <c r="G3139" s="55" t="s">
        <v>490</v>
      </c>
      <c r="H3139" s="50" t="s">
        <v>224</v>
      </c>
    </row>
    <row r="3140" spans="1:62" x14ac:dyDescent="0.2">
      <c r="C3140" s="195">
        <v>44756</v>
      </c>
      <c r="D3140" s="55">
        <v>260</v>
      </c>
      <c r="E3140" s="55" t="s">
        <v>5618</v>
      </c>
      <c r="F3140" s="55" t="s">
        <v>263</v>
      </c>
      <c r="G3140" s="55" t="s">
        <v>633</v>
      </c>
      <c r="H3140" s="50" t="s">
        <v>224</v>
      </c>
    </row>
    <row r="3141" spans="1:62" x14ac:dyDescent="0.2">
      <c r="C3141" s="195">
        <v>44754</v>
      </c>
      <c r="D3141" s="55">
        <v>280</v>
      </c>
      <c r="E3141" s="55" t="s">
        <v>5619</v>
      </c>
      <c r="F3141" s="55" t="s">
        <v>244</v>
      </c>
      <c r="G3141" s="55" t="s">
        <v>378</v>
      </c>
      <c r="H3141" s="50" t="s">
        <v>5620</v>
      </c>
    </row>
    <row r="3142" spans="1:62" x14ac:dyDescent="0.2">
      <c r="C3142" s="195">
        <v>44761</v>
      </c>
      <c r="D3142" s="55">
        <v>280</v>
      </c>
      <c r="E3142" s="55" t="s">
        <v>5621</v>
      </c>
      <c r="F3142" s="55" t="s">
        <v>390</v>
      </c>
      <c r="G3142" s="55" t="s">
        <v>391</v>
      </c>
      <c r="H3142" s="50" t="s">
        <v>5622</v>
      </c>
    </row>
    <row r="3143" spans="1:62" x14ac:dyDescent="0.2">
      <c r="C3143" s="195">
        <v>44755</v>
      </c>
      <c r="D3143" s="55">
        <v>260</v>
      </c>
      <c r="E3143" s="55" t="s">
        <v>5623</v>
      </c>
      <c r="F3143" s="55" t="s">
        <v>231</v>
      </c>
      <c r="G3143" s="55" t="s">
        <v>255</v>
      </c>
      <c r="H3143" s="50" t="s">
        <v>5624</v>
      </c>
    </row>
    <row r="3144" spans="1:62" x14ac:dyDescent="0.2">
      <c r="C3144" s="195">
        <v>44771</v>
      </c>
      <c r="D3144" s="55">
        <v>260</v>
      </c>
      <c r="E3144" s="55" t="s">
        <v>5625</v>
      </c>
      <c r="F3144" s="55" t="s">
        <v>267</v>
      </c>
      <c r="G3144" s="55" t="s">
        <v>331</v>
      </c>
      <c r="H3144" s="50" t="s">
        <v>5626</v>
      </c>
    </row>
    <row r="3145" spans="1:62" x14ac:dyDescent="0.2">
      <c r="C3145" s="195">
        <v>44767</v>
      </c>
      <c r="D3145" s="55">
        <v>260</v>
      </c>
      <c r="E3145" s="55" t="s">
        <v>5627</v>
      </c>
      <c r="F3145" s="55" t="s">
        <v>219</v>
      </c>
      <c r="G3145" s="55" t="s">
        <v>223</v>
      </c>
      <c r="H3145" s="50" t="s">
        <v>5628</v>
      </c>
    </row>
    <row r="3146" spans="1:62" x14ac:dyDescent="0.2">
      <c r="C3146" s="195">
        <v>44764</v>
      </c>
      <c r="D3146" s="55">
        <v>280</v>
      </c>
      <c r="E3146" s="55" t="s">
        <v>5629</v>
      </c>
      <c r="F3146" s="55" t="s">
        <v>196</v>
      </c>
      <c r="G3146" s="55" t="s">
        <v>352</v>
      </c>
      <c r="H3146" s="50" t="s">
        <v>5630</v>
      </c>
    </row>
    <row r="3147" spans="1:62" x14ac:dyDescent="0.2">
      <c r="C3147" s="195">
        <v>44748</v>
      </c>
      <c r="D3147" s="55">
        <v>280</v>
      </c>
      <c r="E3147" s="55" t="s">
        <v>5631</v>
      </c>
      <c r="F3147" s="55" t="s">
        <v>263</v>
      </c>
      <c r="G3147" s="55" t="s">
        <v>806</v>
      </c>
      <c r="H3147" s="50" t="s">
        <v>224</v>
      </c>
    </row>
    <row r="3148" spans="1:62" x14ac:dyDescent="0.2">
      <c r="C3148" s="195">
        <v>44771</v>
      </c>
      <c r="D3148" s="55">
        <v>280</v>
      </c>
      <c r="E3148" s="55" t="s">
        <v>5632</v>
      </c>
      <c r="F3148" s="55" t="s">
        <v>244</v>
      </c>
      <c r="G3148" s="55" t="s">
        <v>245</v>
      </c>
      <c r="H3148" s="50" t="s">
        <v>5633</v>
      </c>
    </row>
    <row r="3149" spans="1:62" x14ac:dyDescent="0.2">
      <c r="C3149" s="195">
        <v>44771</v>
      </c>
      <c r="D3149" s="55">
        <v>280</v>
      </c>
      <c r="E3149" s="55" t="s">
        <v>5634</v>
      </c>
      <c r="F3149" s="55" t="s">
        <v>196</v>
      </c>
      <c r="G3149" s="55" t="s">
        <v>349</v>
      </c>
      <c r="H3149" s="50" t="s">
        <v>5635</v>
      </c>
    </row>
    <row r="3150" spans="1:62" x14ac:dyDescent="0.2">
      <c r="C3150" s="195">
        <v>44768</v>
      </c>
      <c r="D3150" s="55">
        <v>260</v>
      </c>
      <c r="E3150" s="55" t="s">
        <v>5636</v>
      </c>
      <c r="F3150" s="55" t="s">
        <v>196</v>
      </c>
      <c r="G3150" s="55" t="s">
        <v>349</v>
      </c>
      <c r="H3150" s="50" t="s">
        <v>5637</v>
      </c>
    </row>
    <row r="3151" spans="1:62" x14ac:dyDescent="0.2">
      <c r="A3151" s="57">
        <v>722</v>
      </c>
      <c r="B3151" t="s">
        <v>836</v>
      </c>
      <c r="C3151" s="195">
        <v>44754</v>
      </c>
      <c r="D3151" s="55">
        <v>280</v>
      </c>
      <c r="E3151" s="55" t="s">
        <v>5638</v>
      </c>
      <c r="F3151" s="55" t="s">
        <v>196</v>
      </c>
      <c r="G3151" s="55" t="s">
        <v>361</v>
      </c>
      <c r="H3151" s="50" t="s">
        <v>224</v>
      </c>
      <c r="I3151" s="46" t="s">
        <v>839</v>
      </c>
      <c r="J3151" s="52">
        <v>2</v>
      </c>
      <c r="K3151" s="52">
        <v>1</v>
      </c>
      <c r="O3151" s="1">
        <v>1</v>
      </c>
      <c r="S3151" s="1">
        <v>1</v>
      </c>
      <c r="W3151" s="1">
        <v>2</v>
      </c>
      <c r="AA3151" s="1">
        <v>2</v>
      </c>
      <c r="AG3151">
        <v>2</v>
      </c>
      <c r="AM3151">
        <v>2</v>
      </c>
      <c r="AN3151">
        <v>4</v>
      </c>
      <c r="AO3151">
        <v>4</v>
      </c>
      <c r="AP3151">
        <v>4</v>
      </c>
      <c r="AQ3151">
        <v>4</v>
      </c>
      <c r="AR3151">
        <v>4</v>
      </c>
      <c r="AS3151">
        <v>3</v>
      </c>
      <c r="AT3151">
        <v>2</v>
      </c>
      <c r="AU3151">
        <v>2</v>
      </c>
      <c r="AZ3151">
        <v>2</v>
      </c>
      <c r="BA3151">
        <v>2</v>
      </c>
      <c r="BB3151">
        <v>1</v>
      </c>
      <c r="BC3151">
        <v>1</v>
      </c>
      <c r="BD3151">
        <v>1</v>
      </c>
      <c r="BE3151">
        <v>4</v>
      </c>
      <c r="BF3151">
        <v>1</v>
      </c>
      <c r="BG3151">
        <v>1</v>
      </c>
      <c r="BH3151">
        <v>3</v>
      </c>
      <c r="BI3151">
        <v>1</v>
      </c>
      <c r="BJ3151">
        <v>2</v>
      </c>
    </row>
    <row r="3152" spans="1:62" x14ac:dyDescent="0.2">
      <c r="C3152" s="195">
        <v>44762</v>
      </c>
      <c r="D3152" s="55">
        <v>280</v>
      </c>
      <c r="E3152" s="55" t="s">
        <v>5639</v>
      </c>
      <c r="F3152" s="55" t="s">
        <v>272</v>
      </c>
      <c r="G3152" s="55" t="s">
        <v>683</v>
      </c>
      <c r="H3152" s="50" t="s">
        <v>5640</v>
      </c>
    </row>
    <row r="3153" spans="1:9" x14ac:dyDescent="0.2">
      <c r="C3153" s="195">
        <v>44771</v>
      </c>
      <c r="D3153" s="55">
        <v>280</v>
      </c>
      <c r="E3153" s="55" t="s">
        <v>5641</v>
      </c>
      <c r="F3153" s="55" t="s">
        <v>244</v>
      </c>
      <c r="G3153" s="55" t="s">
        <v>245</v>
      </c>
      <c r="H3153" s="50" t="s">
        <v>5642</v>
      </c>
    </row>
    <row r="3154" spans="1:9" x14ac:dyDescent="0.2">
      <c r="A3154" s="57">
        <v>722</v>
      </c>
      <c r="B3154" t="s">
        <v>836</v>
      </c>
      <c r="C3154" s="195">
        <v>44755</v>
      </c>
      <c r="D3154" s="55">
        <v>280</v>
      </c>
      <c r="E3154" s="55" t="s">
        <v>5643</v>
      </c>
      <c r="F3154" s="55" t="s">
        <v>219</v>
      </c>
      <c r="G3154" s="55" t="s">
        <v>249</v>
      </c>
      <c r="H3154" s="50" t="s">
        <v>5644</v>
      </c>
      <c r="I3154" s="46" t="s">
        <v>837</v>
      </c>
    </row>
    <row r="3155" spans="1:9" x14ac:dyDescent="0.2">
      <c r="C3155" s="195">
        <v>44753</v>
      </c>
      <c r="D3155" s="55">
        <v>280</v>
      </c>
      <c r="E3155" s="55" t="s">
        <v>5645</v>
      </c>
      <c r="F3155" s="55" t="s">
        <v>244</v>
      </c>
      <c r="G3155" s="55" t="s">
        <v>315</v>
      </c>
      <c r="H3155" s="50" t="s">
        <v>5646</v>
      </c>
    </row>
    <row r="3156" spans="1:9" x14ac:dyDescent="0.2">
      <c r="C3156" s="195">
        <v>44750</v>
      </c>
      <c r="D3156" s="55">
        <v>260</v>
      </c>
      <c r="E3156" s="55" t="s">
        <v>5647</v>
      </c>
      <c r="F3156" s="55" t="s">
        <v>244</v>
      </c>
      <c r="G3156" s="55" t="s">
        <v>245</v>
      </c>
      <c r="H3156" s="50" t="s">
        <v>5648</v>
      </c>
    </row>
    <row r="3157" spans="1:9" x14ac:dyDescent="0.2">
      <c r="C3157" s="195">
        <v>44756</v>
      </c>
      <c r="D3157" s="55">
        <v>260</v>
      </c>
      <c r="E3157" s="55" t="s">
        <v>5649</v>
      </c>
      <c r="F3157" s="55" t="s">
        <v>267</v>
      </c>
      <c r="G3157" s="55" t="s">
        <v>442</v>
      </c>
      <c r="H3157" s="50" t="s">
        <v>5650</v>
      </c>
    </row>
    <row r="3158" spans="1:9" x14ac:dyDescent="0.2">
      <c r="C3158" s="195">
        <v>44771</v>
      </c>
      <c r="D3158" s="55">
        <v>280</v>
      </c>
      <c r="E3158" s="55" t="s">
        <v>5651</v>
      </c>
      <c r="F3158" s="55" t="s">
        <v>267</v>
      </c>
      <c r="G3158" s="55" t="s">
        <v>268</v>
      </c>
      <c r="H3158" s="50" t="s">
        <v>5652</v>
      </c>
    </row>
    <row r="3159" spans="1:9" x14ac:dyDescent="0.2">
      <c r="C3159" s="195">
        <v>44771</v>
      </c>
      <c r="D3159" s="55">
        <v>260</v>
      </c>
      <c r="E3159" s="55" t="s">
        <v>5653</v>
      </c>
      <c r="F3159" s="55" t="s">
        <v>219</v>
      </c>
      <c r="G3159" s="55" t="s">
        <v>451</v>
      </c>
      <c r="H3159" s="50" t="s">
        <v>5654</v>
      </c>
    </row>
    <row r="3160" spans="1:9" x14ac:dyDescent="0.2">
      <c r="C3160" s="195">
        <v>44756</v>
      </c>
      <c r="D3160" s="55">
        <v>280</v>
      </c>
      <c r="E3160" s="55" t="s">
        <v>5655</v>
      </c>
      <c r="F3160" s="55" t="s">
        <v>267</v>
      </c>
      <c r="G3160" s="55" t="s">
        <v>535</v>
      </c>
      <c r="H3160" s="50" t="s">
        <v>5656</v>
      </c>
    </row>
    <row r="3161" spans="1:9" x14ac:dyDescent="0.2">
      <c r="C3161" s="195">
        <v>44743</v>
      </c>
      <c r="D3161" s="55">
        <v>260</v>
      </c>
      <c r="E3161" s="55" t="s">
        <v>5657</v>
      </c>
      <c r="F3161" s="55" t="s">
        <v>244</v>
      </c>
      <c r="G3161" s="55" t="s">
        <v>245</v>
      </c>
      <c r="H3161" s="50" t="s">
        <v>5658</v>
      </c>
    </row>
    <row r="3162" spans="1:9" x14ac:dyDescent="0.2">
      <c r="C3162" s="195">
        <v>44771</v>
      </c>
      <c r="D3162" s="55">
        <v>280</v>
      </c>
      <c r="E3162" s="55" t="s">
        <v>5659</v>
      </c>
      <c r="F3162" s="55" t="s">
        <v>272</v>
      </c>
      <c r="G3162" s="55" t="s">
        <v>273</v>
      </c>
      <c r="H3162" s="50" t="s">
        <v>5660</v>
      </c>
    </row>
    <row r="3163" spans="1:9" x14ac:dyDescent="0.2">
      <c r="C3163" s="195">
        <v>44743</v>
      </c>
      <c r="D3163" s="55">
        <v>260</v>
      </c>
      <c r="E3163" s="55" t="s">
        <v>5661</v>
      </c>
      <c r="F3163" s="55" t="s">
        <v>244</v>
      </c>
      <c r="G3163" s="55" t="s">
        <v>245</v>
      </c>
      <c r="H3163" s="50" t="s">
        <v>5662</v>
      </c>
    </row>
    <row r="3164" spans="1:9" x14ac:dyDescent="0.2">
      <c r="C3164" s="195">
        <v>44743</v>
      </c>
      <c r="D3164" s="55">
        <v>260</v>
      </c>
      <c r="E3164" s="55" t="s">
        <v>5663</v>
      </c>
      <c r="F3164" s="55" t="s">
        <v>192</v>
      </c>
      <c r="G3164" s="55" t="s">
        <v>258</v>
      </c>
      <c r="H3164" s="50" t="s">
        <v>5664</v>
      </c>
    </row>
    <row r="3165" spans="1:9" x14ac:dyDescent="0.2">
      <c r="C3165" s="195">
        <v>44768</v>
      </c>
      <c r="D3165" s="55">
        <v>280</v>
      </c>
      <c r="E3165" s="55" t="s">
        <v>5665</v>
      </c>
      <c r="F3165" s="55" t="s">
        <v>192</v>
      </c>
      <c r="G3165" s="55" t="s">
        <v>487</v>
      </c>
      <c r="H3165" s="50" t="s">
        <v>5666</v>
      </c>
    </row>
    <row r="3166" spans="1:9" x14ac:dyDescent="0.2">
      <c r="C3166" s="195">
        <v>44743</v>
      </c>
      <c r="D3166" s="55">
        <v>280</v>
      </c>
      <c r="E3166" s="55" t="s">
        <v>5667</v>
      </c>
      <c r="F3166" s="55" t="s">
        <v>390</v>
      </c>
      <c r="G3166" s="55" t="s">
        <v>922</v>
      </c>
      <c r="H3166" s="50" t="s">
        <v>5668</v>
      </c>
    </row>
    <row r="3167" spans="1:9" x14ac:dyDescent="0.2">
      <c r="C3167" s="195">
        <v>44755</v>
      </c>
      <c r="D3167" s="55">
        <v>280</v>
      </c>
      <c r="E3167" s="55" t="s">
        <v>5669</v>
      </c>
      <c r="F3167" s="55" t="s">
        <v>219</v>
      </c>
      <c r="G3167" s="55" t="s">
        <v>223</v>
      </c>
      <c r="H3167" s="50" t="s">
        <v>5670</v>
      </c>
    </row>
    <row r="3168" spans="1:9" x14ac:dyDescent="0.2">
      <c r="C3168" s="195">
        <v>44770</v>
      </c>
      <c r="D3168" s="55">
        <v>280</v>
      </c>
      <c r="E3168" s="55" t="s">
        <v>5671</v>
      </c>
      <c r="F3168" s="55" t="s">
        <v>231</v>
      </c>
      <c r="G3168" s="55" t="s">
        <v>1098</v>
      </c>
      <c r="H3168" s="50" t="s">
        <v>224</v>
      </c>
    </row>
    <row r="3169" spans="1:62" x14ac:dyDescent="0.2">
      <c r="C3169" s="195">
        <v>44753</v>
      </c>
      <c r="D3169" s="55">
        <v>260</v>
      </c>
      <c r="E3169" s="55" t="s">
        <v>5672</v>
      </c>
      <c r="F3169" s="55" t="s">
        <v>192</v>
      </c>
      <c r="G3169" s="55" t="s">
        <v>258</v>
      </c>
      <c r="H3169" s="50" t="s">
        <v>5673</v>
      </c>
    </row>
    <row r="3170" spans="1:62" x14ac:dyDescent="0.2">
      <c r="C3170" s="195">
        <v>44764</v>
      </c>
      <c r="D3170" s="55">
        <v>280</v>
      </c>
      <c r="E3170" s="55" t="s">
        <v>5674</v>
      </c>
      <c r="F3170" s="55" t="s">
        <v>291</v>
      </c>
      <c r="G3170" s="55" t="s">
        <v>480</v>
      </c>
      <c r="H3170" s="50" t="s">
        <v>5675</v>
      </c>
    </row>
    <row r="3171" spans="1:62" x14ac:dyDescent="0.2">
      <c r="C3171" s="195">
        <v>44753</v>
      </c>
      <c r="D3171" s="55">
        <v>280</v>
      </c>
      <c r="E3171" s="55" t="s">
        <v>5676</v>
      </c>
      <c r="F3171" s="55" t="s">
        <v>291</v>
      </c>
      <c r="G3171" s="55" t="s">
        <v>2723</v>
      </c>
      <c r="H3171" s="50" t="s">
        <v>5677</v>
      </c>
    </row>
    <row r="3172" spans="1:62" x14ac:dyDescent="0.2">
      <c r="C3172" s="195">
        <v>44755</v>
      </c>
      <c r="D3172" s="55">
        <v>280</v>
      </c>
      <c r="E3172" s="55" t="s">
        <v>5678</v>
      </c>
      <c r="F3172" s="55" t="s">
        <v>210</v>
      </c>
      <c r="G3172" s="55" t="s">
        <v>306</v>
      </c>
      <c r="H3172" s="50" t="s">
        <v>5679</v>
      </c>
    </row>
    <row r="3173" spans="1:62" x14ac:dyDescent="0.2">
      <c r="C3173" s="195">
        <v>44764</v>
      </c>
      <c r="D3173" s="55">
        <v>280</v>
      </c>
      <c r="E3173" s="55" t="s">
        <v>5680</v>
      </c>
      <c r="F3173" s="55" t="s">
        <v>231</v>
      </c>
      <c r="G3173" s="55" t="s">
        <v>3699</v>
      </c>
      <c r="H3173" s="50" t="s">
        <v>5681</v>
      </c>
    </row>
    <row r="3174" spans="1:62" x14ac:dyDescent="0.2">
      <c r="C3174" s="195">
        <v>44749</v>
      </c>
      <c r="D3174" s="55">
        <v>260</v>
      </c>
      <c r="E3174" s="55" t="s">
        <v>5682</v>
      </c>
      <c r="F3174" s="55" t="s">
        <v>231</v>
      </c>
      <c r="G3174" s="55" t="s">
        <v>2603</v>
      </c>
      <c r="H3174" s="50" t="s">
        <v>5683</v>
      </c>
    </row>
    <row r="3175" spans="1:62" x14ac:dyDescent="0.2">
      <c r="C3175" s="195">
        <v>44764</v>
      </c>
      <c r="D3175" s="55">
        <v>280</v>
      </c>
      <c r="E3175" s="55" t="s">
        <v>5684</v>
      </c>
      <c r="F3175" s="55" t="s">
        <v>202</v>
      </c>
      <c r="G3175" s="55" t="s">
        <v>2033</v>
      </c>
      <c r="H3175" s="50" t="s">
        <v>5685</v>
      </c>
    </row>
    <row r="3176" spans="1:62" x14ac:dyDescent="0.2">
      <c r="C3176" s="195">
        <v>44768</v>
      </c>
      <c r="D3176" s="55">
        <v>280</v>
      </c>
      <c r="E3176" s="55" t="s">
        <v>5686</v>
      </c>
      <c r="F3176" s="55" t="s">
        <v>210</v>
      </c>
      <c r="G3176" s="55" t="s">
        <v>496</v>
      </c>
      <c r="H3176" s="50" t="s">
        <v>5687</v>
      </c>
    </row>
    <row r="3177" spans="1:62" x14ac:dyDescent="0.2">
      <c r="A3177" s="57">
        <v>722</v>
      </c>
      <c r="B3177" t="s">
        <v>836</v>
      </c>
      <c r="C3177" s="195">
        <v>44754</v>
      </c>
      <c r="D3177" s="55">
        <v>260</v>
      </c>
      <c r="E3177" s="55" t="s">
        <v>5688</v>
      </c>
      <c r="F3177" s="55" t="s">
        <v>202</v>
      </c>
      <c r="G3177" s="55" t="s">
        <v>344</v>
      </c>
      <c r="H3177" s="50" t="s">
        <v>224</v>
      </c>
      <c r="I3177" s="46" t="s">
        <v>837</v>
      </c>
    </row>
    <row r="3178" spans="1:62" x14ac:dyDescent="0.2">
      <c r="C3178" s="195">
        <v>44762</v>
      </c>
      <c r="D3178" s="55">
        <v>280</v>
      </c>
      <c r="E3178" s="55" t="s">
        <v>5689</v>
      </c>
      <c r="F3178" s="55" t="s">
        <v>244</v>
      </c>
      <c r="G3178" s="55" t="s">
        <v>260</v>
      </c>
      <c r="H3178" s="50" t="s">
        <v>5690</v>
      </c>
    </row>
    <row r="3179" spans="1:62" x14ac:dyDescent="0.2">
      <c r="C3179" s="195">
        <v>44750</v>
      </c>
      <c r="D3179" s="55">
        <v>260</v>
      </c>
      <c r="E3179" s="55" t="s">
        <v>5691</v>
      </c>
      <c r="F3179" s="55" t="s">
        <v>263</v>
      </c>
      <c r="G3179" s="55" t="s">
        <v>506</v>
      </c>
      <c r="H3179" s="50" t="s">
        <v>224</v>
      </c>
    </row>
    <row r="3180" spans="1:62" x14ac:dyDescent="0.2">
      <c r="C3180" s="195">
        <v>44762</v>
      </c>
      <c r="D3180" s="55">
        <v>260</v>
      </c>
      <c r="E3180" s="55" t="s">
        <v>5692</v>
      </c>
      <c r="F3180" s="55" t="s">
        <v>231</v>
      </c>
      <c r="G3180" s="55" t="s">
        <v>421</v>
      </c>
    </row>
    <row r="3181" spans="1:62" x14ac:dyDescent="0.2">
      <c r="C3181" s="195">
        <v>44767</v>
      </c>
      <c r="D3181" s="55">
        <v>280</v>
      </c>
      <c r="E3181" s="55" t="s">
        <v>5693</v>
      </c>
      <c r="F3181" s="55" t="s">
        <v>219</v>
      </c>
      <c r="G3181" s="55" t="s">
        <v>540</v>
      </c>
      <c r="H3181" s="50" t="s">
        <v>5694</v>
      </c>
    </row>
    <row r="3182" spans="1:62" x14ac:dyDescent="0.2">
      <c r="C3182" s="195">
        <v>44760</v>
      </c>
      <c r="D3182" s="55">
        <v>260</v>
      </c>
      <c r="E3182" s="55" t="s">
        <v>5695</v>
      </c>
      <c r="F3182" s="55" t="s">
        <v>196</v>
      </c>
      <c r="G3182" s="55" t="s">
        <v>498</v>
      </c>
      <c r="H3182" s="50" t="s">
        <v>5696</v>
      </c>
    </row>
    <row r="3183" spans="1:62" x14ac:dyDescent="0.2">
      <c r="A3183" s="57">
        <v>722</v>
      </c>
      <c r="B3183" t="s">
        <v>836</v>
      </c>
      <c r="C3183" s="195">
        <v>44762</v>
      </c>
      <c r="D3183" s="55">
        <v>280</v>
      </c>
      <c r="E3183" s="55" t="s">
        <v>5697</v>
      </c>
      <c r="F3183" s="55" t="s">
        <v>390</v>
      </c>
      <c r="G3183" s="55" t="s">
        <v>490</v>
      </c>
      <c r="H3183" s="50" t="s">
        <v>224</v>
      </c>
      <c r="I3183" s="46" t="s">
        <v>839</v>
      </c>
      <c r="J3183" s="52">
        <v>1</v>
      </c>
      <c r="K3183" s="52">
        <v>1</v>
      </c>
      <c r="O3183" s="1">
        <v>1</v>
      </c>
      <c r="S3183" s="1">
        <v>1</v>
      </c>
      <c r="W3183" s="1">
        <v>2</v>
      </c>
      <c r="AA3183" s="1">
        <v>1</v>
      </c>
      <c r="AG3183">
        <v>1</v>
      </c>
      <c r="AM3183">
        <v>4</v>
      </c>
      <c r="AS3183">
        <v>4</v>
      </c>
      <c r="AT3183">
        <v>1</v>
      </c>
      <c r="AU3183">
        <v>1</v>
      </c>
      <c r="AZ3183">
        <v>1</v>
      </c>
      <c r="BA3183">
        <v>1</v>
      </c>
      <c r="BB3183">
        <v>1</v>
      </c>
      <c r="BC3183">
        <v>1</v>
      </c>
      <c r="BD3183">
        <v>1</v>
      </c>
      <c r="BE3183">
        <v>1</v>
      </c>
      <c r="BJ3183">
        <v>1</v>
      </c>
    </row>
    <row r="3184" spans="1:62" x14ac:dyDescent="0.2">
      <c r="C3184" s="195">
        <v>44754</v>
      </c>
      <c r="D3184" s="55">
        <v>260</v>
      </c>
      <c r="E3184" s="55" t="s">
        <v>5698</v>
      </c>
      <c r="F3184" s="55" t="s">
        <v>210</v>
      </c>
      <c r="G3184" s="55" t="s">
        <v>1572</v>
      </c>
      <c r="H3184" s="50" t="s">
        <v>5699</v>
      </c>
    </row>
    <row r="3185" spans="1:9" x14ac:dyDescent="0.2">
      <c r="C3185" s="195">
        <v>44768</v>
      </c>
      <c r="D3185" s="55">
        <v>260</v>
      </c>
      <c r="E3185" s="55" t="s">
        <v>5700</v>
      </c>
      <c r="F3185" s="55" t="s">
        <v>210</v>
      </c>
      <c r="G3185" s="55" t="s">
        <v>306</v>
      </c>
      <c r="H3185" s="50" t="s">
        <v>5701</v>
      </c>
    </row>
    <row r="3186" spans="1:9" x14ac:dyDescent="0.2">
      <c r="C3186" s="195">
        <v>44748</v>
      </c>
      <c r="D3186" s="55">
        <v>280</v>
      </c>
      <c r="E3186" s="55" t="s">
        <v>5702</v>
      </c>
      <c r="F3186" s="55" t="s">
        <v>206</v>
      </c>
      <c r="G3186" s="55" t="s">
        <v>214</v>
      </c>
    </row>
    <row r="3187" spans="1:9" x14ac:dyDescent="0.2">
      <c r="C3187" s="195">
        <v>44754</v>
      </c>
      <c r="D3187" s="55">
        <v>260</v>
      </c>
      <c r="E3187" s="55" t="s">
        <v>5703</v>
      </c>
      <c r="F3187" s="55" t="s">
        <v>267</v>
      </c>
      <c r="G3187" s="55" t="s">
        <v>442</v>
      </c>
      <c r="H3187" s="50" t="s">
        <v>5704</v>
      </c>
    </row>
    <row r="3188" spans="1:9" x14ac:dyDescent="0.2">
      <c r="C3188" s="195">
        <v>44762</v>
      </c>
      <c r="D3188" s="55">
        <v>280</v>
      </c>
      <c r="E3188" s="55" t="s">
        <v>5705</v>
      </c>
      <c r="F3188" s="55" t="s">
        <v>192</v>
      </c>
      <c r="G3188" s="55" t="s">
        <v>258</v>
      </c>
    </row>
    <row r="3189" spans="1:9" x14ac:dyDescent="0.2">
      <c r="C3189" s="195">
        <v>44763</v>
      </c>
      <c r="D3189" s="55">
        <v>260</v>
      </c>
      <c r="E3189" s="55" t="s">
        <v>5706</v>
      </c>
      <c r="F3189" s="55" t="s">
        <v>390</v>
      </c>
      <c r="G3189" s="55" t="s">
        <v>671</v>
      </c>
      <c r="H3189" s="50" t="s">
        <v>5707</v>
      </c>
    </row>
    <row r="3190" spans="1:9" x14ac:dyDescent="0.2">
      <c r="C3190" s="195">
        <v>44754</v>
      </c>
      <c r="D3190" s="55">
        <v>260</v>
      </c>
      <c r="E3190" s="55" t="s">
        <v>5708</v>
      </c>
      <c r="F3190" s="55" t="s">
        <v>206</v>
      </c>
      <c r="G3190" s="55" t="s">
        <v>758</v>
      </c>
      <c r="H3190" s="50" t="s">
        <v>5709</v>
      </c>
    </row>
    <row r="3191" spans="1:9" x14ac:dyDescent="0.2">
      <c r="C3191" s="195">
        <v>44747</v>
      </c>
      <c r="D3191" s="55">
        <v>260</v>
      </c>
      <c r="E3191" s="55" t="s">
        <v>5710</v>
      </c>
      <c r="F3191" s="55" t="s">
        <v>390</v>
      </c>
      <c r="G3191" s="55" t="s">
        <v>408</v>
      </c>
    </row>
    <row r="3192" spans="1:9" x14ac:dyDescent="0.2">
      <c r="C3192" s="195">
        <v>44750</v>
      </c>
      <c r="D3192" s="55">
        <v>280</v>
      </c>
      <c r="E3192" s="55" t="s">
        <v>5711</v>
      </c>
      <c r="F3192" s="55" t="s">
        <v>210</v>
      </c>
      <c r="G3192" s="55" t="s">
        <v>211</v>
      </c>
      <c r="H3192" s="50" t="s">
        <v>5712</v>
      </c>
    </row>
    <row r="3193" spans="1:9" x14ac:dyDescent="0.2">
      <c r="C3193" s="195">
        <v>44770</v>
      </c>
      <c r="D3193" s="55">
        <v>260</v>
      </c>
      <c r="E3193" s="55" t="s">
        <v>5713</v>
      </c>
      <c r="F3193" s="55" t="s">
        <v>192</v>
      </c>
      <c r="G3193" s="55" t="s">
        <v>563</v>
      </c>
      <c r="H3193" s="50" t="s">
        <v>224</v>
      </c>
    </row>
    <row r="3194" spans="1:9" x14ac:dyDescent="0.2">
      <c r="A3194" s="57">
        <v>722</v>
      </c>
      <c r="B3194" t="s">
        <v>836</v>
      </c>
      <c r="C3194" s="195">
        <v>44771</v>
      </c>
      <c r="D3194" s="55">
        <v>280</v>
      </c>
      <c r="E3194" s="55" t="s">
        <v>5714</v>
      </c>
      <c r="F3194" s="55" t="s">
        <v>192</v>
      </c>
      <c r="G3194" s="55" t="s">
        <v>487</v>
      </c>
      <c r="H3194" s="50" t="s">
        <v>5715</v>
      </c>
      <c r="I3194" s="46" t="s">
        <v>837</v>
      </c>
    </row>
    <row r="3195" spans="1:9" x14ac:dyDescent="0.2">
      <c r="C3195" s="195">
        <v>44743</v>
      </c>
      <c r="D3195" s="55">
        <v>280</v>
      </c>
      <c r="E3195" s="55" t="s">
        <v>5716</v>
      </c>
      <c r="F3195" s="55" t="s">
        <v>263</v>
      </c>
      <c r="G3195" s="55" t="s">
        <v>633</v>
      </c>
      <c r="H3195" s="50" t="s">
        <v>5717</v>
      </c>
    </row>
    <row r="3196" spans="1:9" x14ac:dyDescent="0.2">
      <c r="A3196" s="57">
        <v>722</v>
      </c>
      <c r="B3196" t="s">
        <v>836</v>
      </c>
      <c r="C3196" s="195">
        <v>44743</v>
      </c>
      <c r="D3196" s="55">
        <v>280</v>
      </c>
      <c r="E3196" s="55" t="s">
        <v>5718</v>
      </c>
      <c r="F3196" s="55" t="s">
        <v>202</v>
      </c>
      <c r="G3196" s="55" t="s">
        <v>2033</v>
      </c>
      <c r="H3196" s="50" t="s">
        <v>224</v>
      </c>
      <c r="I3196" s="46" t="s">
        <v>837</v>
      </c>
    </row>
    <row r="3197" spans="1:9" x14ac:dyDescent="0.2">
      <c r="C3197" s="195">
        <v>44754</v>
      </c>
      <c r="D3197" s="55">
        <v>280</v>
      </c>
      <c r="E3197" s="55" t="s">
        <v>5719</v>
      </c>
      <c r="F3197" s="55" t="s">
        <v>263</v>
      </c>
      <c r="G3197" s="55" t="s">
        <v>1005</v>
      </c>
      <c r="H3197" s="50" t="s">
        <v>5720</v>
      </c>
    </row>
    <row r="3198" spans="1:9" x14ac:dyDescent="0.2">
      <c r="C3198" s="195">
        <v>44771</v>
      </c>
      <c r="D3198" s="55">
        <v>280</v>
      </c>
      <c r="E3198" s="55" t="s">
        <v>5721</v>
      </c>
      <c r="F3198" s="55" t="s">
        <v>267</v>
      </c>
      <c r="G3198" s="55" t="s">
        <v>331</v>
      </c>
      <c r="H3198" s="50" t="s">
        <v>5722</v>
      </c>
    </row>
    <row r="3199" spans="1:9" x14ac:dyDescent="0.2">
      <c r="C3199" s="195">
        <v>44743</v>
      </c>
      <c r="D3199" s="55">
        <v>260</v>
      </c>
      <c r="E3199" s="55" t="s">
        <v>5723</v>
      </c>
      <c r="F3199" s="55" t="s">
        <v>202</v>
      </c>
      <c r="G3199" s="55" t="s">
        <v>321</v>
      </c>
      <c r="H3199" s="50" t="s">
        <v>5724</v>
      </c>
    </row>
    <row r="3200" spans="1:9" x14ac:dyDescent="0.2">
      <c r="C3200" s="195">
        <v>44747</v>
      </c>
      <c r="D3200" s="55">
        <v>280</v>
      </c>
      <c r="E3200" s="55" t="s">
        <v>5725</v>
      </c>
      <c r="F3200" s="55" t="s">
        <v>231</v>
      </c>
      <c r="G3200" s="55" t="s">
        <v>782</v>
      </c>
    </row>
    <row r="3201" spans="1:9" x14ac:dyDescent="0.2">
      <c r="C3201" s="195">
        <v>44750</v>
      </c>
      <c r="D3201" s="55">
        <v>280</v>
      </c>
      <c r="E3201" s="55" t="s">
        <v>5726</v>
      </c>
      <c r="F3201" s="55" t="s">
        <v>231</v>
      </c>
      <c r="G3201" s="55" t="s">
        <v>1098</v>
      </c>
      <c r="H3201" s="50" t="s">
        <v>5727</v>
      </c>
    </row>
    <row r="3202" spans="1:9" x14ac:dyDescent="0.2">
      <c r="C3202" s="195">
        <v>44761</v>
      </c>
      <c r="D3202" s="55">
        <v>280</v>
      </c>
      <c r="E3202" s="55" t="s">
        <v>5728</v>
      </c>
      <c r="F3202" s="55" t="s">
        <v>210</v>
      </c>
      <c r="G3202" s="55" t="s">
        <v>1572</v>
      </c>
      <c r="H3202" s="50" t="s">
        <v>5729</v>
      </c>
    </row>
    <row r="3203" spans="1:9" x14ac:dyDescent="0.2">
      <c r="C3203" s="195">
        <v>44767</v>
      </c>
      <c r="D3203" s="55">
        <v>280</v>
      </c>
      <c r="E3203" s="55" t="s">
        <v>5730</v>
      </c>
      <c r="F3203" s="55" t="s">
        <v>202</v>
      </c>
      <c r="G3203" s="55" t="s">
        <v>344</v>
      </c>
      <c r="H3203" s="50" t="s">
        <v>224</v>
      </c>
    </row>
    <row r="3204" spans="1:9" x14ac:dyDescent="0.2">
      <c r="C3204" s="195">
        <v>44762</v>
      </c>
      <c r="D3204" s="55">
        <v>260</v>
      </c>
      <c r="E3204" s="55" t="s">
        <v>5731</v>
      </c>
      <c r="F3204" s="55" t="s">
        <v>390</v>
      </c>
      <c r="G3204" s="55" t="s">
        <v>490</v>
      </c>
      <c r="H3204" s="50" t="s">
        <v>5732</v>
      </c>
    </row>
    <row r="3205" spans="1:9" x14ac:dyDescent="0.2">
      <c r="C3205" s="195">
        <v>44750</v>
      </c>
      <c r="D3205" s="55">
        <v>280</v>
      </c>
      <c r="E3205" s="55" t="s">
        <v>5733</v>
      </c>
      <c r="F3205" s="55" t="s">
        <v>210</v>
      </c>
      <c r="G3205" s="55" t="s">
        <v>383</v>
      </c>
    </row>
    <row r="3206" spans="1:9" x14ac:dyDescent="0.2">
      <c r="C3206" s="195">
        <v>44755</v>
      </c>
      <c r="D3206" s="55">
        <v>280</v>
      </c>
      <c r="E3206" s="55" t="s">
        <v>5734</v>
      </c>
      <c r="F3206" s="55" t="s">
        <v>263</v>
      </c>
      <c r="G3206" s="55" t="s">
        <v>3747</v>
      </c>
      <c r="H3206" s="50" t="s">
        <v>5735</v>
      </c>
    </row>
    <row r="3207" spans="1:9" x14ac:dyDescent="0.2">
      <c r="C3207" s="195">
        <v>44757</v>
      </c>
      <c r="D3207" s="55">
        <v>260</v>
      </c>
      <c r="E3207" s="55" t="s">
        <v>5736</v>
      </c>
      <c r="F3207" s="55" t="s">
        <v>231</v>
      </c>
      <c r="G3207" s="55" t="s">
        <v>1098</v>
      </c>
      <c r="H3207" s="50" t="s">
        <v>5737</v>
      </c>
    </row>
    <row r="3208" spans="1:9" x14ac:dyDescent="0.2">
      <c r="C3208" s="195">
        <v>44770</v>
      </c>
      <c r="D3208" s="55">
        <v>260</v>
      </c>
      <c r="E3208" s="55" t="s">
        <v>5738</v>
      </c>
      <c r="F3208" s="55" t="s">
        <v>291</v>
      </c>
      <c r="G3208" s="55" t="s">
        <v>480</v>
      </c>
      <c r="H3208" s="50" t="s">
        <v>224</v>
      </c>
    </row>
    <row r="3209" spans="1:9" x14ac:dyDescent="0.2">
      <c r="C3209" s="195">
        <v>44756</v>
      </c>
      <c r="D3209" s="55">
        <v>280</v>
      </c>
      <c r="E3209" s="55" t="s">
        <v>5739</v>
      </c>
      <c r="F3209" s="55" t="s">
        <v>206</v>
      </c>
      <c r="G3209" s="55" t="s">
        <v>548</v>
      </c>
      <c r="H3209" s="50" t="s">
        <v>5740</v>
      </c>
    </row>
    <row r="3210" spans="1:9" x14ac:dyDescent="0.2">
      <c r="C3210" s="195">
        <v>44754</v>
      </c>
      <c r="D3210" s="55">
        <v>260</v>
      </c>
      <c r="E3210" s="55" t="s">
        <v>5741</v>
      </c>
      <c r="F3210" s="55" t="s">
        <v>267</v>
      </c>
      <c r="G3210" s="55" t="s">
        <v>442</v>
      </c>
      <c r="H3210" s="50" t="s">
        <v>5742</v>
      </c>
    </row>
    <row r="3211" spans="1:9" x14ac:dyDescent="0.2">
      <c r="A3211" s="57">
        <v>722</v>
      </c>
      <c r="B3211" t="s">
        <v>836</v>
      </c>
      <c r="C3211" s="195">
        <v>44771</v>
      </c>
      <c r="D3211" s="55">
        <v>260</v>
      </c>
      <c r="E3211" s="55" t="s">
        <v>5743</v>
      </c>
      <c r="F3211" s="55" t="s">
        <v>291</v>
      </c>
      <c r="G3211" s="55" t="s">
        <v>1247</v>
      </c>
      <c r="H3211" s="50" t="s">
        <v>224</v>
      </c>
      <c r="I3211" s="46" t="s">
        <v>837</v>
      </c>
    </row>
    <row r="3212" spans="1:9" x14ac:dyDescent="0.2">
      <c r="C3212" s="195">
        <v>44756</v>
      </c>
      <c r="D3212" s="55">
        <v>280</v>
      </c>
      <c r="E3212" s="55" t="s">
        <v>5744</v>
      </c>
      <c r="F3212" s="55" t="s">
        <v>267</v>
      </c>
      <c r="G3212" s="55" t="s">
        <v>442</v>
      </c>
      <c r="H3212" s="50" t="s">
        <v>5745</v>
      </c>
    </row>
    <row r="3213" spans="1:9" x14ac:dyDescent="0.2">
      <c r="C3213" s="195">
        <v>44761</v>
      </c>
      <c r="D3213" s="55">
        <v>260</v>
      </c>
      <c r="E3213" s="55" t="s">
        <v>5746</v>
      </c>
      <c r="F3213" s="55" t="s">
        <v>231</v>
      </c>
      <c r="G3213" s="55" t="s">
        <v>3965</v>
      </c>
      <c r="H3213" s="50" t="s">
        <v>5747</v>
      </c>
    </row>
    <row r="3214" spans="1:9" x14ac:dyDescent="0.2">
      <c r="C3214" s="195">
        <v>44749</v>
      </c>
      <c r="D3214" s="55">
        <v>260</v>
      </c>
      <c r="E3214" s="55" t="s">
        <v>5748</v>
      </c>
      <c r="F3214" s="55" t="s">
        <v>231</v>
      </c>
      <c r="G3214" s="55" t="s">
        <v>2088</v>
      </c>
      <c r="H3214" s="50" t="s">
        <v>224</v>
      </c>
    </row>
    <row r="3215" spans="1:9" x14ac:dyDescent="0.2">
      <c r="C3215" s="195">
        <v>44743</v>
      </c>
      <c r="D3215" s="55">
        <v>280</v>
      </c>
      <c r="E3215" s="55" t="s">
        <v>5749</v>
      </c>
      <c r="F3215" s="55" t="s">
        <v>231</v>
      </c>
      <c r="G3215" s="55" t="s">
        <v>371</v>
      </c>
      <c r="H3215" s="50" t="s">
        <v>5750</v>
      </c>
    </row>
    <row r="3216" spans="1:9" x14ac:dyDescent="0.2">
      <c r="C3216" s="195">
        <v>44749</v>
      </c>
      <c r="D3216" s="55">
        <v>280</v>
      </c>
      <c r="E3216" s="55" t="s">
        <v>5751</v>
      </c>
      <c r="F3216" s="55" t="s">
        <v>390</v>
      </c>
      <c r="G3216" s="55" t="s">
        <v>779</v>
      </c>
      <c r="H3216" s="50" t="s">
        <v>5752</v>
      </c>
    </row>
    <row r="3217" spans="1:62" x14ac:dyDescent="0.2">
      <c r="C3217" s="195">
        <v>44748</v>
      </c>
      <c r="D3217" s="55">
        <v>260</v>
      </c>
      <c r="E3217" s="55" t="s">
        <v>5753</v>
      </c>
      <c r="F3217" s="55" t="s">
        <v>231</v>
      </c>
      <c r="G3217" s="55" t="s">
        <v>435</v>
      </c>
      <c r="H3217" s="50" t="s">
        <v>224</v>
      </c>
    </row>
    <row r="3218" spans="1:62" x14ac:dyDescent="0.2">
      <c r="C3218" s="195">
        <v>44760</v>
      </c>
      <c r="D3218" s="55">
        <v>260</v>
      </c>
      <c r="E3218" s="55" t="s">
        <v>5754</v>
      </c>
      <c r="F3218" s="55" t="s">
        <v>196</v>
      </c>
      <c r="G3218" s="55" t="s">
        <v>498</v>
      </c>
      <c r="H3218" s="50" t="s">
        <v>5755</v>
      </c>
    </row>
    <row r="3219" spans="1:62" x14ac:dyDescent="0.2">
      <c r="C3219" s="195">
        <v>44760</v>
      </c>
      <c r="D3219" s="55">
        <v>280</v>
      </c>
      <c r="E3219" s="55" t="s">
        <v>5756</v>
      </c>
      <c r="F3219" s="55" t="s">
        <v>390</v>
      </c>
      <c r="G3219" s="55" t="s">
        <v>590</v>
      </c>
      <c r="H3219" s="50" t="s">
        <v>5757</v>
      </c>
    </row>
    <row r="3220" spans="1:62" x14ac:dyDescent="0.2">
      <c r="C3220" s="195">
        <v>44771</v>
      </c>
      <c r="D3220" s="55">
        <v>260</v>
      </c>
      <c r="E3220" s="55" t="s">
        <v>5758</v>
      </c>
      <c r="F3220" s="55" t="s">
        <v>196</v>
      </c>
      <c r="G3220" s="55" t="s">
        <v>645</v>
      </c>
      <c r="H3220" s="50" t="s">
        <v>5759</v>
      </c>
    </row>
    <row r="3221" spans="1:62" x14ac:dyDescent="0.2">
      <c r="C3221" s="195">
        <v>44755</v>
      </c>
      <c r="D3221" s="55">
        <v>260</v>
      </c>
      <c r="E3221" s="55" t="s">
        <v>5760</v>
      </c>
      <c r="F3221" s="55" t="s">
        <v>219</v>
      </c>
      <c r="G3221" s="55" t="s">
        <v>451</v>
      </c>
      <c r="H3221" s="50" t="s">
        <v>5761</v>
      </c>
    </row>
    <row r="3222" spans="1:62" x14ac:dyDescent="0.2">
      <c r="C3222" s="195">
        <v>44763</v>
      </c>
      <c r="D3222" s="55">
        <v>280</v>
      </c>
      <c r="E3222" s="55" t="s">
        <v>5762</v>
      </c>
      <c r="F3222" s="55" t="s">
        <v>390</v>
      </c>
      <c r="G3222" s="55" t="s">
        <v>1717</v>
      </c>
      <c r="H3222" s="50" t="s">
        <v>5763</v>
      </c>
    </row>
    <row r="3223" spans="1:62" x14ac:dyDescent="0.2">
      <c r="A3223" s="57">
        <v>722</v>
      </c>
      <c r="B3223" t="s">
        <v>836</v>
      </c>
      <c r="C3223" s="195">
        <v>44771</v>
      </c>
      <c r="D3223" s="55">
        <v>260</v>
      </c>
      <c r="E3223" s="55" t="s">
        <v>5764</v>
      </c>
      <c r="F3223" s="55" t="s">
        <v>219</v>
      </c>
      <c r="G3223" s="55" t="s">
        <v>3710</v>
      </c>
      <c r="H3223" s="50" t="s">
        <v>224</v>
      </c>
      <c r="I3223" s="46" t="s">
        <v>839</v>
      </c>
      <c r="J3223" s="52">
        <v>2</v>
      </c>
      <c r="K3223" s="52">
        <v>2</v>
      </c>
      <c r="O3223" s="1">
        <v>4</v>
      </c>
      <c r="P3223" s="58">
        <v>2</v>
      </c>
      <c r="Q3223" s="1">
        <v>2</v>
      </c>
      <c r="R3223" s="1">
        <v>2</v>
      </c>
      <c r="S3223" s="1">
        <v>1</v>
      </c>
      <c r="W3223" s="1">
        <v>1</v>
      </c>
      <c r="AA3223" s="1">
        <v>3</v>
      </c>
      <c r="AB3223" s="1">
        <v>1</v>
      </c>
      <c r="AC3223" s="59">
        <v>1</v>
      </c>
      <c r="AD3223" s="1">
        <v>1</v>
      </c>
      <c r="AE3223" s="1">
        <v>2</v>
      </c>
      <c r="AF3223" s="1">
        <v>3</v>
      </c>
      <c r="AG3223">
        <v>3</v>
      </c>
      <c r="AH3223">
        <v>3</v>
      </c>
      <c r="AI3223">
        <v>2</v>
      </c>
      <c r="AJ3223">
        <v>2</v>
      </c>
      <c r="AK3223">
        <v>3</v>
      </c>
      <c r="AL3223">
        <v>2</v>
      </c>
      <c r="AM3223">
        <v>1</v>
      </c>
      <c r="AN3223">
        <v>1</v>
      </c>
      <c r="AO3223">
        <v>1</v>
      </c>
      <c r="AP3223">
        <v>1</v>
      </c>
      <c r="AQ3223">
        <v>2</v>
      </c>
      <c r="AR3223">
        <v>2</v>
      </c>
      <c r="AS3223">
        <v>5</v>
      </c>
      <c r="AT3223">
        <v>3</v>
      </c>
      <c r="AU3223">
        <v>1</v>
      </c>
      <c r="AZ3223">
        <v>1</v>
      </c>
      <c r="BA3223">
        <v>1</v>
      </c>
      <c r="BB3223">
        <v>1</v>
      </c>
      <c r="BC3223">
        <v>1</v>
      </c>
      <c r="BD3223">
        <v>1</v>
      </c>
      <c r="BE3223">
        <v>1</v>
      </c>
      <c r="BJ3223">
        <v>1</v>
      </c>
    </row>
    <row r="3224" spans="1:62" x14ac:dyDescent="0.2">
      <c r="C3224" s="195">
        <v>44771</v>
      </c>
      <c r="D3224" s="55">
        <v>260</v>
      </c>
      <c r="E3224" s="55" t="s">
        <v>5765</v>
      </c>
      <c r="F3224" s="55" t="s">
        <v>390</v>
      </c>
      <c r="G3224" s="55" t="s">
        <v>779</v>
      </c>
      <c r="H3224" s="50" t="s">
        <v>5766</v>
      </c>
    </row>
    <row r="3225" spans="1:62" x14ac:dyDescent="0.2">
      <c r="C3225" s="195">
        <v>44756</v>
      </c>
      <c r="D3225" s="55">
        <v>280</v>
      </c>
      <c r="E3225" s="55" t="s">
        <v>5767</v>
      </c>
      <c r="F3225" s="55" t="s">
        <v>291</v>
      </c>
      <c r="G3225" s="55" t="s">
        <v>643</v>
      </c>
      <c r="H3225" s="50" t="s">
        <v>5768</v>
      </c>
    </row>
    <row r="3226" spans="1:62" x14ac:dyDescent="0.2">
      <c r="C3226" s="195">
        <v>44761</v>
      </c>
      <c r="D3226" s="55">
        <v>280</v>
      </c>
      <c r="E3226" s="55" t="s">
        <v>5769</v>
      </c>
      <c r="F3226" s="55" t="s">
        <v>196</v>
      </c>
      <c r="G3226" s="55" t="s">
        <v>349</v>
      </c>
      <c r="H3226" s="50" t="s">
        <v>5770</v>
      </c>
    </row>
    <row r="3227" spans="1:62" x14ac:dyDescent="0.2">
      <c r="C3227" s="195">
        <v>44747</v>
      </c>
      <c r="D3227" s="55">
        <v>260</v>
      </c>
      <c r="E3227" s="55" t="s">
        <v>5771</v>
      </c>
      <c r="F3227" s="55" t="s">
        <v>390</v>
      </c>
      <c r="G3227" s="55" t="s">
        <v>922</v>
      </c>
      <c r="H3227" s="50" t="s">
        <v>224</v>
      </c>
    </row>
    <row r="3228" spans="1:62" x14ac:dyDescent="0.2">
      <c r="C3228" s="195">
        <v>44769</v>
      </c>
      <c r="D3228" s="55">
        <v>280</v>
      </c>
      <c r="E3228" s="55" t="s">
        <v>5772</v>
      </c>
      <c r="F3228" s="55" t="s">
        <v>263</v>
      </c>
      <c r="G3228" s="55" t="s">
        <v>506</v>
      </c>
      <c r="H3228" s="50" t="s">
        <v>224</v>
      </c>
    </row>
    <row r="3229" spans="1:62" x14ac:dyDescent="0.2">
      <c r="C3229" s="195">
        <v>44771</v>
      </c>
      <c r="D3229" s="55">
        <v>260</v>
      </c>
      <c r="E3229" s="55" t="s">
        <v>5773</v>
      </c>
      <c r="F3229" s="55" t="s">
        <v>390</v>
      </c>
      <c r="G3229" s="55" t="s">
        <v>779</v>
      </c>
      <c r="H3229" s="50" t="s">
        <v>5774</v>
      </c>
    </row>
    <row r="3230" spans="1:62" x14ac:dyDescent="0.2">
      <c r="C3230" s="195">
        <v>44771</v>
      </c>
      <c r="D3230" s="55">
        <v>280</v>
      </c>
      <c r="E3230" s="55" t="s">
        <v>5775</v>
      </c>
      <c r="F3230" s="55" t="s">
        <v>231</v>
      </c>
      <c r="G3230" s="55" t="s">
        <v>232</v>
      </c>
      <c r="H3230" s="50" t="s">
        <v>5776</v>
      </c>
    </row>
    <row r="3231" spans="1:62" x14ac:dyDescent="0.2">
      <c r="C3231" s="195">
        <v>44757</v>
      </c>
      <c r="D3231" s="55">
        <v>280</v>
      </c>
      <c r="E3231" s="55" t="s">
        <v>5777</v>
      </c>
      <c r="F3231" s="55" t="s">
        <v>202</v>
      </c>
      <c r="G3231" s="55" t="s">
        <v>302</v>
      </c>
      <c r="H3231" s="50" t="s">
        <v>5778</v>
      </c>
    </row>
    <row r="3232" spans="1:62" x14ac:dyDescent="0.2">
      <c r="C3232" s="195">
        <v>44749</v>
      </c>
      <c r="D3232" s="55">
        <v>280</v>
      </c>
      <c r="E3232" s="55" t="s">
        <v>5779</v>
      </c>
      <c r="F3232" s="55" t="s">
        <v>231</v>
      </c>
      <c r="G3232" s="55" t="s">
        <v>371</v>
      </c>
      <c r="H3232" s="50" t="s">
        <v>224</v>
      </c>
    </row>
    <row r="3233" spans="1:62" x14ac:dyDescent="0.2">
      <c r="C3233" s="195">
        <v>44771</v>
      </c>
      <c r="D3233" s="55">
        <v>280</v>
      </c>
      <c r="E3233" s="55" t="s">
        <v>5780</v>
      </c>
      <c r="F3233" s="55" t="s">
        <v>291</v>
      </c>
      <c r="G3233" s="55" t="s">
        <v>1215</v>
      </c>
      <c r="H3233" s="50" t="s">
        <v>5781</v>
      </c>
    </row>
    <row r="3234" spans="1:62" x14ac:dyDescent="0.2">
      <c r="C3234" s="195">
        <v>44754</v>
      </c>
      <c r="D3234" s="55">
        <v>280</v>
      </c>
      <c r="E3234" s="55" t="s">
        <v>5782</v>
      </c>
      <c r="F3234" s="55" t="s">
        <v>210</v>
      </c>
      <c r="G3234" s="55" t="s">
        <v>1095</v>
      </c>
      <c r="H3234" s="50" t="s">
        <v>5783</v>
      </c>
    </row>
    <row r="3235" spans="1:62" x14ac:dyDescent="0.2">
      <c r="C3235" s="195">
        <v>44760</v>
      </c>
      <c r="D3235" s="55">
        <v>280</v>
      </c>
      <c r="E3235" s="55" t="s">
        <v>5784</v>
      </c>
      <c r="F3235" s="55" t="s">
        <v>263</v>
      </c>
      <c r="G3235" s="55" t="s">
        <v>3747</v>
      </c>
      <c r="H3235" s="50" t="s">
        <v>5785</v>
      </c>
    </row>
    <row r="3236" spans="1:62" x14ac:dyDescent="0.2">
      <c r="C3236" s="195">
        <v>44743</v>
      </c>
      <c r="D3236" s="55">
        <v>280</v>
      </c>
      <c r="E3236" s="55" t="s">
        <v>5786</v>
      </c>
      <c r="F3236" s="55" t="s">
        <v>231</v>
      </c>
      <c r="G3236" s="55" t="s">
        <v>435</v>
      </c>
      <c r="H3236" s="50" t="s">
        <v>5787</v>
      </c>
    </row>
    <row r="3237" spans="1:62" x14ac:dyDescent="0.2">
      <c r="C3237" s="195">
        <v>44747</v>
      </c>
      <c r="D3237" s="55">
        <v>280</v>
      </c>
      <c r="E3237" s="55" t="s">
        <v>5788</v>
      </c>
      <c r="F3237" s="55" t="s">
        <v>291</v>
      </c>
      <c r="G3237" s="55" t="s">
        <v>607</v>
      </c>
      <c r="H3237" s="50" t="s">
        <v>5789</v>
      </c>
    </row>
    <row r="3238" spans="1:62" x14ac:dyDescent="0.2">
      <c r="C3238" s="195">
        <v>44743</v>
      </c>
      <c r="D3238" s="55">
        <v>280</v>
      </c>
      <c r="E3238" s="55" t="s">
        <v>5790</v>
      </c>
      <c r="F3238" s="55" t="s">
        <v>202</v>
      </c>
      <c r="G3238" s="55" t="s">
        <v>344</v>
      </c>
      <c r="H3238" s="50" t="s">
        <v>224</v>
      </c>
    </row>
    <row r="3239" spans="1:62" x14ac:dyDescent="0.2">
      <c r="C3239" s="195">
        <v>44747</v>
      </c>
      <c r="D3239" s="55">
        <v>280</v>
      </c>
      <c r="E3239" s="55" t="s">
        <v>5791</v>
      </c>
      <c r="F3239" s="55" t="s">
        <v>202</v>
      </c>
      <c r="G3239" s="55" t="s">
        <v>321</v>
      </c>
    </row>
    <row r="3240" spans="1:62" x14ac:dyDescent="0.2">
      <c r="A3240" s="57">
        <v>722</v>
      </c>
      <c r="B3240" t="s">
        <v>836</v>
      </c>
      <c r="C3240" s="195">
        <v>44743</v>
      </c>
      <c r="D3240" s="55">
        <v>260</v>
      </c>
      <c r="E3240" s="55" t="s">
        <v>5792</v>
      </c>
      <c r="F3240" s="55" t="s">
        <v>196</v>
      </c>
      <c r="G3240" s="55" t="s">
        <v>464</v>
      </c>
      <c r="H3240" s="50" t="s">
        <v>224</v>
      </c>
      <c r="I3240" s="46" t="s">
        <v>837</v>
      </c>
    </row>
    <row r="3241" spans="1:62" x14ac:dyDescent="0.2">
      <c r="C3241" s="195">
        <v>44753</v>
      </c>
      <c r="D3241" s="55">
        <v>280</v>
      </c>
      <c r="E3241" s="55" t="s">
        <v>5793</v>
      </c>
      <c r="F3241" s="55" t="s">
        <v>206</v>
      </c>
      <c r="G3241" s="55" t="s">
        <v>548</v>
      </c>
      <c r="H3241" s="50" t="s">
        <v>5794</v>
      </c>
    </row>
    <row r="3242" spans="1:62" x14ac:dyDescent="0.2">
      <c r="C3242" s="195">
        <v>44747</v>
      </c>
      <c r="D3242" s="55">
        <v>260</v>
      </c>
      <c r="E3242" s="55" t="s">
        <v>5795</v>
      </c>
      <c r="F3242" s="55" t="s">
        <v>202</v>
      </c>
      <c r="G3242" s="55" t="s">
        <v>1146</v>
      </c>
      <c r="H3242" s="50" t="s">
        <v>5796</v>
      </c>
    </row>
    <row r="3243" spans="1:62" x14ac:dyDescent="0.2">
      <c r="C3243" s="195">
        <v>44760</v>
      </c>
      <c r="D3243" s="55">
        <v>280</v>
      </c>
      <c r="E3243" s="55" t="s">
        <v>5797</v>
      </c>
      <c r="F3243" s="55" t="s">
        <v>263</v>
      </c>
      <c r="G3243" s="55" t="s">
        <v>1113</v>
      </c>
      <c r="H3243" s="50" t="s">
        <v>5798</v>
      </c>
    </row>
    <row r="3244" spans="1:62" x14ac:dyDescent="0.2">
      <c r="C3244" s="195">
        <v>44756</v>
      </c>
      <c r="D3244" s="55">
        <v>280</v>
      </c>
      <c r="E3244" s="55" t="s">
        <v>5799</v>
      </c>
      <c r="F3244" s="55" t="s">
        <v>263</v>
      </c>
      <c r="G3244" s="55" t="s">
        <v>3747</v>
      </c>
      <c r="H3244" s="50" t="s">
        <v>5800</v>
      </c>
    </row>
    <row r="3245" spans="1:62" x14ac:dyDescent="0.2">
      <c r="A3245" s="57">
        <v>722</v>
      </c>
      <c r="B3245" t="s">
        <v>836</v>
      </c>
      <c r="C3245" s="195">
        <v>44762</v>
      </c>
      <c r="D3245" s="55">
        <v>260</v>
      </c>
      <c r="E3245" s="55" t="s">
        <v>5801</v>
      </c>
      <c r="F3245" s="55" t="s">
        <v>263</v>
      </c>
      <c r="G3245" s="55" t="s">
        <v>633</v>
      </c>
      <c r="H3245" s="50" t="s">
        <v>224</v>
      </c>
      <c r="I3245" s="46" t="s">
        <v>839</v>
      </c>
      <c r="J3245" s="52">
        <v>1</v>
      </c>
      <c r="K3245" s="52">
        <v>1</v>
      </c>
      <c r="O3245" s="1">
        <v>1</v>
      </c>
      <c r="S3245" s="1">
        <v>1</v>
      </c>
      <c r="W3245" s="1">
        <v>1</v>
      </c>
      <c r="AA3245" s="1">
        <v>1</v>
      </c>
      <c r="AG3245">
        <v>1</v>
      </c>
      <c r="AM3245">
        <v>1</v>
      </c>
      <c r="AN3245">
        <v>4</v>
      </c>
      <c r="AO3245">
        <v>4</v>
      </c>
      <c r="AP3245">
        <v>4</v>
      </c>
      <c r="AQ3245">
        <v>4</v>
      </c>
      <c r="AR3245">
        <v>4</v>
      </c>
      <c r="AS3245">
        <v>3</v>
      </c>
      <c r="AT3245">
        <v>1</v>
      </c>
      <c r="AU3245">
        <v>1</v>
      </c>
      <c r="AZ3245">
        <v>1</v>
      </c>
      <c r="BA3245">
        <v>1</v>
      </c>
      <c r="BB3245">
        <v>1</v>
      </c>
      <c r="BC3245">
        <v>1</v>
      </c>
      <c r="BD3245">
        <v>1</v>
      </c>
      <c r="BE3245">
        <v>1</v>
      </c>
      <c r="BJ3245">
        <v>1</v>
      </c>
    </row>
    <row r="3246" spans="1:62" x14ac:dyDescent="0.2">
      <c r="C3246" s="195">
        <v>44768</v>
      </c>
      <c r="D3246" s="55">
        <v>260</v>
      </c>
      <c r="E3246" s="55" t="s">
        <v>5802</v>
      </c>
      <c r="F3246" s="55" t="s">
        <v>210</v>
      </c>
      <c r="G3246" s="55" t="s">
        <v>211</v>
      </c>
      <c r="H3246" s="50" t="s">
        <v>5803</v>
      </c>
    </row>
    <row r="3247" spans="1:62" x14ac:dyDescent="0.2">
      <c r="C3247" s="195">
        <v>44748</v>
      </c>
      <c r="D3247" s="55">
        <v>260</v>
      </c>
      <c r="E3247" s="55" t="s">
        <v>5804</v>
      </c>
      <c r="F3247" s="55" t="s">
        <v>263</v>
      </c>
      <c r="G3247" s="55" t="s">
        <v>506</v>
      </c>
      <c r="H3247" s="50" t="s">
        <v>5805</v>
      </c>
    </row>
    <row r="3248" spans="1:62" x14ac:dyDescent="0.2">
      <c r="C3248" s="195">
        <v>44771</v>
      </c>
      <c r="D3248" s="55">
        <v>280</v>
      </c>
      <c r="E3248" s="55" t="s">
        <v>5806</v>
      </c>
      <c r="F3248" s="55" t="s">
        <v>291</v>
      </c>
      <c r="G3248" s="55" t="s">
        <v>1247</v>
      </c>
      <c r="H3248" s="50" t="s">
        <v>5807</v>
      </c>
    </row>
    <row r="3249" spans="1:66" x14ac:dyDescent="0.2">
      <c r="C3249" s="195">
        <v>44750</v>
      </c>
      <c r="D3249" s="55">
        <v>280</v>
      </c>
      <c r="E3249" s="55" t="s">
        <v>5808</v>
      </c>
      <c r="F3249" s="55" t="s">
        <v>390</v>
      </c>
      <c r="G3249" s="55" t="s">
        <v>590</v>
      </c>
      <c r="H3249" s="50" t="s">
        <v>5809</v>
      </c>
    </row>
    <row r="3250" spans="1:66" x14ac:dyDescent="0.2">
      <c r="C3250" s="195">
        <v>44767</v>
      </c>
      <c r="D3250" s="55">
        <v>260</v>
      </c>
      <c r="E3250" s="55" t="s">
        <v>5810</v>
      </c>
      <c r="F3250" s="55" t="s">
        <v>219</v>
      </c>
      <c r="G3250" s="55" t="s">
        <v>220</v>
      </c>
      <c r="H3250" s="50" t="s">
        <v>5811</v>
      </c>
    </row>
    <row r="3251" spans="1:66" x14ac:dyDescent="0.2">
      <c r="A3251" s="57">
        <v>722</v>
      </c>
      <c r="B3251" t="s">
        <v>836</v>
      </c>
      <c r="C3251" s="195">
        <v>44757</v>
      </c>
      <c r="D3251" s="55">
        <v>260</v>
      </c>
      <c r="E3251" s="55" t="s">
        <v>5812</v>
      </c>
      <c r="F3251" s="55" t="s">
        <v>272</v>
      </c>
      <c r="G3251" s="55" t="s">
        <v>683</v>
      </c>
      <c r="H3251" s="50" t="s">
        <v>224</v>
      </c>
      <c r="I3251" s="46" t="s">
        <v>839</v>
      </c>
      <c r="J3251" s="52">
        <v>1</v>
      </c>
      <c r="K3251" s="52">
        <v>1</v>
      </c>
      <c r="O3251" s="1">
        <v>1</v>
      </c>
      <c r="S3251" s="1">
        <v>2</v>
      </c>
      <c r="W3251" s="1">
        <v>2</v>
      </c>
      <c r="AA3251" s="1">
        <v>4</v>
      </c>
      <c r="AB3251" s="1">
        <v>2</v>
      </c>
      <c r="AC3251" s="59">
        <v>1</v>
      </c>
      <c r="AD3251" s="1">
        <v>2</v>
      </c>
      <c r="AE3251" s="1">
        <v>2</v>
      </c>
      <c r="AF3251" s="1">
        <v>2</v>
      </c>
      <c r="AG3251">
        <v>4</v>
      </c>
      <c r="AH3251">
        <v>2</v>
      </c>
      <c r="AI3251">
        <v>2</v>
      </c>
      <c r="AJ3251">
        <v>2</v>
      </c>
      <c r="AK3251">
        <v>2</v>
      </c>
      <c r="AL3251">
        <v>2</v>
      </c>
      <c r="AM3251">
        <v>1</v>
      </c>
      <c r="AN3251">
        <v>2</v>
      </c>
      <c r="AO3251">
        <v>2</v>
      </c>
      <c r="AP3251">
        <v>2</v>
      </c>
      <c r="AQ3251">
        <v>2</v>
      </c>
      <c r="AR3251">
        <v>3</v>
      </c>
      <c r="AS3251">
        <v>1</v>
      </c>
      <c r="AT3251">
        <v>2</v>
      </c>
      <c r="AU3251">
        <v>2</v>
      </c>
      <c r="AZ3251">
        <v>4</v>
      </c>
      <c r="BA3251">
        <v>1</v>
      </c>
      <c r="BB3251">
        <v>2</v>
      </c>
      <c r="BC3251">
        <v>1</v>
      </c>
      <c r="BD3251">
        <v>1</v>
      </c>
      <c r="BE3251">
        <v>3</v>
      </c>
      <c r="BF3251">
        <v>1</v>
      </c>
      <c r="BG3251">
        <v>1</v>
      </c>
      <c r="BH3251">
        <v>1</v>
      </c>
      <c r="BI3251">
        <v>1</v>
      </c>
      <c r="BJ3251">
        <v>3</v>
      </c>
      <c r="BK3251">
        <v>2</v>
      </c>
      <c r="BL3251">
        <v>2</v>
      </c>
      <c r="BM3251">
        <v>2</v>
      </c>
      <c r="BN3251">
        <v>2</v>
      </c>
    </row>
    <row r="3252" spans="1:66" x14ac:dyDescent="0.2">
      <c r="C3252" s="195">
        <v>44761</v>
      </c>
      <c r="D3252" s="55">
        <v>280</v>
      </c>
      <c r="E3252" s="55" t="s">
        <v>5813</v>
      </c>
      <c r="F3252" s="55" t="s">
        <v>219</v>
      </c>
      <c r="G3252" s="55" t="s">
        <v>220</v>
      </c>
      <c r="H3252" s="50" t="s">
        <v>5814</v>
      </c>
    </row>
    <row r="3253" spans="1:66" x14ac:dyDescent="0.2">
      <c r="C3253" s="195">
        <v>44750</v>
      </c>
      <c r="D3253" s="55">
        <v>260</v>
      </c>
      <c r="E3253" s="55" t="s">
        <v>5815</v>
      </c>
      <c r="F3253" s="55" t="s">
        <v>244</v>
      </c>
      <c r="G3253" s="55" t="s">
        <v>245</v>
      </c>
      <c r="H3253" s="50" t="s">
        <v>5816</v>
      </c>
    </row>
    <row r="3254" spans="1:66" x14ac:dyDescent="0.2">
      <c r="C3254" s="195">
        <v>44755</v>
      </c>
      <c r="D3254" s="55">
        <v>280</v>
      </c>
      <c r="E3254" s="55" t="s">
        <v>5817</v>
      </c>
      <c r="F3254" s="55" t="s">
        <v>390</v>
      </c>
      <c r="G3254" s="55" t="s">
        <v>490</v>
      </c>
      <c r="H3254" s="50" t="s">
        <v>224</v>
      </c>
    </row>
    <row r="3255" spans="1:66" x14ac:dyDescent="0.2">
      <c r="C3255" s="195">
        <v>44753</v>
      </c>
      <c r="D3255" s="55">
        <v>280</v>
      </c>
      <c r="E3255" s="55" t="s">
        <v>5818</v>
      </c>
      <c r="F3255" s="55" t="s">
        <v>206</v>
      </c>
      <c r="G3255" s="55" t="s">
        <v>548</v>
      </c>
      <c r="H3255" s="50" t="s">
        <v>5819</v>
      </c>
    </row>
    <row r="3256" spans="1:66" x14ac:dyDescent="0.2">
      <c r="C3256" s="195">
        <v>44769</v>
      </c>
      <c r="D3256" s="55">
        <v>280</v>
      </c>
      <c r="E3256" s="55" t="s">
        <v>5820</v>
      </c>
      <c r="F3256" s="55" t="s">
        <v>267</v>
      </c>
      <c r="G3256" s="55" t="s">
        <v>708</v>
      </c>
      <c r="H3256" s="50" t="s">
        <v>5821</v>
      </c>
    </row>
    <row r="3257" spans="1:66" x14ac:dyDescent="0.2">
      <c r="C3257" s="195">
        <v>44767</v>
      </c>
      <c r="D3257" s="55">
        <v>260</v>
      </c>
      <c r="E3257" s="55" t="s">
        <v>5822</v>
      </c>
      <c r="F3257" s="55" t="s">
        <v>219</v>
      </c>
      <c r="G3257" s="55" t="s">
        <v>1732</v>
      </c>
      <c r="H3257" s="50" t="s">
        <v>5823</v>
      </c>
    </row>
    <row r="3258" spans="1:66" x14ac:dyDescent="0.2">
      <c r="C3258" s="195">
        <v>44767</v>
      </c>
      <c r="D3258" s="55">
        <v>280</v>
      </c>
      <c r="E3258" s="55" t="s">
        <v>5824</v>
      </c>
      <c r="F3258" s="55" t="s">
        <v>219</v>
      </c>
      <c r="G3258" s="55" t="s">
        <v>223</v>
      </c>
      <c r="H3258" s="50" t="s">
        <v>5825</v>
      </c>
    </row>
    <row r="3259" spans="1:66" x14ac:dyDescent="0.2">
      <c r="C3259" s="195">
        <v>44757</v>
      </c>
      <c r="D3259" s="55">
        <v>280</v>
      </c>
      <c r="E3259" s="55" t="s">
        <v>5826</v>
      </c>
      <c r="F3259" s="55" t="s">
        <v>231</v>
      </c>
      <c r="G3259" s="55" t="s">
        <v>3965</v>
      </c>
      <c r="H3259" s="50" t="s">
        <v>5827</v>
      </c>
    </row>
    <row r="3260" spans="1:66" x14ac:dyDescent="0.2">
      <c r="C3260" s="195">
        <v>44750</v>
      </c>
      <c r="D3260" s="55">
        <v>260</v>
      </c>
      <c r="E3260" s="55" t="s">
        <v>5828</v>
      </c>
      <c r="F3260" s="55" t="s">
        <v>390</v>
      </c>
      <c r="G3260" s="55" t="s">
        <v>490</v>
      </c>
      <c r="H3260" s="50" t="s">
        <v>5829</v>
      </c>
    </row>
    <row r="3261" spans="1:66" x14ac:dyDescent="0.2">
      <c r="C3261" s="195">
        <v>44750</v>
      </c>
      <c r="D3261" s="55">
        <v>260</v>
      </c>
      <c r="E3261" s="55" t="s">
        <v>5830</v>
      </c>
      <c r="F3261" s="55" t="s">
        <v>244</v>
      </c>
      <c r="G3261" s="55" t="s">
        <v>5831</v>
      </c>
      <c r="H3261" s="50" t="s">
        <v>224</v>
      </c>
    </row>
    <row r="3262" spans="1:66" x14ac:dyDescent="0.2">
      <c r="C3262" s="195">
        <v>44763</v>
      </c>
      <c r="D3262" s="55">
        <v>280</v>
      </c>
      <c r="E3262" s="55" t="s">
        <v>5832</v>
      </c>
      <c r="F3262" s="55" t="s">
        <v>390</v>
      </c>
      <c r="G3262" s="55" t="s">
        <v>590</v>
      </c>
      <c r="H3262" s="50" t="s">
        <v>5833</v>
      </c>
    </row>
    <row r="3263" spans="1:66" x14ac:dyDescent="0.2">
      <c r="C3263" s="195">
        <v>44756</v>
      </c>
      <c r="D3263" s="55">
        <v>280</v>
      </c>
      <c r="E3263" s="55" t="s">
        <v>5834</v>
      </c>
      <c r="F3263" s="55" t="s">
        <v>231</v>
      </c>
      <c r="G3263" s="55" t="s">
        <v>371</v>
      </c>
      <c r="H3263" s="50" t="s">
        <v>5835</v>
      </c>
    </row>
    <row r="3264" spans="1:66" x14ac:dyDescent="0.2">
      <c r="C3264" s="195">
        <v>44771</v>
      </c>
      <c r="D3264" s="55">
        <v>280</v>
      </c>
      <c r="E3264" s="55" t="s">
        <v>5836</v>
      </c>
      <c r="F3264" s="55" t="s">
        <v>206</v>
      </c>
      <c r="G3264" s="55" t="s">
        <v>214</v>
      </c>
      <c r="H3264" s="50" t="s">
        <v>224</v>
      </c>
    </row>
    <row r="3265" spans="1:9" x14ac:dyDescent="0.2">
      <c r="C3265" s="195">
        <v>44767</v>
      </c>
      <c r="D3265" s="55">
        <v>280</v>
      </c>
      <c r="E3265" s="55" t="s">
        <v>5837</v>
      </c>
      <c r="F3265" s="55" t="s">
        <v>196</v>
      </c>
      <c r="G3265" s="55" t="s">
        <v>645</v>
      </c>
      <c r="H3265" s="50" t="s">
        <v>5838</v>
      </c>
    </row>
    <row r="3266" spans="1:9" x14ac:dyDescent="0.2">
      <c r="C3266" s="195">
        <v>44760</v>
      </c>
      <c r="D3266" s="55">
        <v>280</v>
      </c>
      <c r="E3266" s="55" t="s">
        <v>5839</v>
      </c>
      <c r="F3266" s="55" t="s">
        <v>263</v>
      </c>
      <c r="G3266" s="55" t="s">
        <v>3747</v>
      </c>
    </row>
    <row r="3267" spans="1:9" x14ac:dyDescent="0.2">
      <c r="C3267" s="195">
        <v>44747</v>
      </c>
      <c r="D3267" s="55">
        <v>280</v>
      </c>
      <c r="E3267" s="55" t="s">
        <v>5840</v>
      </c>
      <c r="F3267" s="55" t="s">
        <v>263</v>
      </c>
      <c r="G3267" s="55" t="s">
        <v>3747</v>
      </c>
      <c r="H3267" s="50" t="s">
        <v>5841</v>
      </c>
    </row>
    <row r="3268" spans="1:9" x14ac:dyDescent="0.2">
      <c r="C3268" s="195">
        <v>44748</v>
      </c>
      <c r="D3268" s="55">
        <v>260</v>
      </c>
      <c r="E3268" s="55" t="s">
        <v>5842</v>
      </c>
      <c r="F3268" s="55" t="s">
        <v>210</v>
      </c>
      <c r="G3268" s="55" t="s">
        <v>211</v>
      </c>
      <c r="H3268" s="50" t="s">
        <v>5843</v>
      </c>
    </row>
    <row r="3269" spans="1:9" x14ac:dyDescent="0.2">
      <c r="C3269" s="195">
        <v>44755</v>
      </c>
      <c r="D3269" s="55">
        <v>260</v>
      </c>
      <c r="E3269" s="55" t="s">
        <v>5844</v>
      </c>
      <c r="F3269" s="55" t="s">
        <v>206</v>
      </c>
      <c r="G3269" s="55" t="s">
        <v>758</v>
      </c>
      <c r="H3269" s="50" t="s">
        <v>5845</v>
      </c>
    </row>
    <row r="3270" spans="1:9" x14ac:dyDescent="0.2">
      <c r="C3270" s="195">
        <v>44743</v>
      </c>
      <c r="D3270" s="55">
        <v>260</v>
      </c>
      <c r="E3270" s="55" t="s">
        <v>5846</v>
      </c>
      <c r="F3270" s="55" t="s">
        <v>192</v>
      </c>
      <c r="G3270" s="55" t="s">
        <v>563</v>
      </c>
      <c r="H3270" s="50" t="s">
        <v>5847</v>
      </c>
    </row>
    <row r="3271" spans="1:9" x14ac:dyDescent="0.2">
      <c r="C3271" s="195">
        <v>44757</v>
      </c>
      <c r="D3271" s="55">
        <v>280</v>
      </c>
      <c r="E3271" s="55" t="s">
        <v>5848</v>
      </c>
      <c r="F3271" s="55" t="s">
        <v>244</v>
      </c>
      <c r="G3271" s="55" t="s">
        <v>245</v>
      </c>
      <c r="H3271" s="50" t="s">
        <v>5849</v>
      </c>
    </row>
    <row r="3272" spans="1:9" x14ac:dyDescent="0.2">
      <c r="C3272" s="195">
        <v>44748</v>
      </c>
      <c r="D3272" s="55">
        <v>260</v>
      </c>
      <c r="E3272" s="55" t="s">
        <v>5850</v>
      </c>
      <c r="F3272" s="55" t="s">
        <v>196</v>
      </c>
      <c r="G3272" s="55" t="s">
        <v>361</v>
      </c>
      <c r="H3272" s="50" t="s">
        <v>224</v>
      </c>
    </row>
    <row r="3273" spans="1:9" x14ac:dyDescent="0.2">
      <c r="C3273" s="195">
        <v>44748</v>
      </c>
      <c r="D3273" s="55">
        <v>280</v>
      </c>
      <c r="E3273" s="55" t="s">
        <v>5851</v>
      </c>
      <c r="F3273" s="55" t="s">
        <v>196</v>
      </c>
      <c r="G3273" s="55" t="s">
        <v>197</v>
      </c>
      <c r="H3273" s="50" t="s">
        <v>5852</v>
      </c>
    </row>
    <row r="3274" spans="1:9" x14ac:dyDescent="0.2">
      <c r="C3274" s="195">
        <v>44757</v>
      </c>
      <c r="D3274" s="55">
        <v>280</v>
      </c>
      <c r="E3274" s="55" t="s">
        <v>5853</v>
      </c>
      <c r="F3274" s="55" t="s">
        <v>291</v>
      </c>
      <c r="G3274" s="55" t="s">
        <v>643</v>
      </c>
      <c r="H3274" s="50" t="s">
        <v>5854</v>
      </c>
    </row>
    <row r="3275" spans="1:9" x14ac:dyDescent="0.2">
      <c r="A3275" s="57">
        <v>722</v>
      </c>
      <c r="B3275" t="s">
        <v>836</v>
      </c>
      <c r="C3275" s="195">
        <v>44764</v>
      </c>
      <c r="D3275" s="55">
        <v>280</v>
      </c>
      <c r="E3275" s="55" t="s">
        <v>5855</v>
      </c>
      <c r="F3275" s="55" t="s">
        <v>202</v>
      </c>
      <c r="G3275" s="55" t="s">
        <v>2033</v>
      </c>
      <c r="H3275" s="50" t="s">
        <v>5856</v>
      </c>
      <c r="I3275" s="46" t="s">
        <v>837</v>
      </c>
    </row>
    <row r="3276" spans="1:9" x14ac:dyDescent="0.2">
      <c r="C3276" s="195">
        <v>44748</v>
      </c>
      <c r="D3276" s="55">
        <v>280</v>
      </c>
      <c r="E3276" s="55" t="s">
        <v>5857</v>
      </c>
      <c r="F3276" s="55" t="s">
        <v>219</v>
      </c>
      <c r="G3276" s="55" t="s">
        <v>1732</v>
      </c>
      <c r="H3276" s="50" t="s">
        <v>5858</v>
      </c>
    </row>
    <row r="3277" spans="1:9" x14ac:dyDescent="0.2">
      <c r="C3277" s="195">
        <v>44748</v>
      </c>
      <c r="D3277" s="55">
        <v>280</v>
      </c>
      <c r="E3277" s="55" t="s">
        <v>5859</v>
      </c>
      <c r="F3277" s="55" t="s">
        <v>192</v>
      </c>
      <c r="G3277" s="55" t="s">
        <v>640</v>
      </c>
      <c r="H3277" s="50" t="s">
        <v>5860</v>
      </c>
    </row>
    <row r="3278" spans="1:9" x14ac:dyDescent="0.2">
      <c r="C3278" s="195">
        <v>44757</v>
      </c>
      <c r="D3278" s="55">
        <v>260</v>
      </c>
      <c r="E3278" s="55" t="s">
        <v>5861</v>
      </c>
      <c r="F3278" s="55" t="s">
        <v>210</v>
      </c>
      <c r="G3278" s="55" t="s">
        <v>383</v>
      </c>
      <c r="H3278" s="50" t="s">
        <v>5862</v>
      </c>
    </row>
    <row r="3279" spans="1:9" x14ac:dyDescent="0.2">
      <c r="C3279" s="195">
        <v>44754</v>
      </c>
      <c r="D3279" s="55">
        <v>280</v>
      </c>
      <c r="E3279" s="55" t="s">
        <v>5863</v>
      </c>
      <c r="F3279" s="55" t="s">
        <v>210</v>
      </c>
      <c r="G3279" s="55" t="s">
        <v>1095</v>
      </c>
      <c r="H3279" s="50" t="s">
        <v>5864</v>
      </c>
    </row>
    <row r="3280" spans="1:9" x14ac:dyDescent="0.2">
      <c r="C3280" s="195">
        <v>44761</v>
      </c>
      <c r="D3280" s="55">
        <v>260</v>
      </c>
      <c r="E3280" s="55" t="s">
        <v>5865</v>
      </c>
      <c r="F3280" s="55" t="s">
        <v>219</v>
      </c>
      <c r="G3280" s="55" t="s">
        <v>220</v>
      </c>
      <c r="H3280" s="50" t="s">
        <v>5866</v>
      </c>
    </row>
    <row r="3281" spans="1:62" x14ac:dyDescent="0.2">
      <c r="C3281" s="195">
        <v>44760</v>
      </c>
      <c r="D3281" s="55">
        <v>280</v>
      </c>
      <c r="E3281" s="55" t="s">
        <v>5867</v>
      </c>
      <c r="F3281" s="55" t="s">
        <v>263</v>
      </c>
      <c r="G3281" s="55" t="s">
        <v>506</v>
      </c>
      <c r="H3281" s="50" t="s">
        <v>224</v>
      </c>
    </row>
    <row r="3282" spans="1:62" x14ac:dyDescent="0.2">
      <c r="C3282" s="195">
        <v>44750</v>
      </c>
      <c r="D3282" s="55">
        <v>260</v>
      </c>
      <c r="E3282" s="55" t="s">
        <v>5868</v>
      </c>
      <c r="F3282" s="55" t="s">
        <v>210</v>
      </c>
      <c r="G3282" s="55" t="s">
        <v>383</v>
      </c>
    </row>
    <row r="3283" spans="1:62" x14ac:dyDescent="0.2">
      <c r="C3283" s="195">
        <v>44762</v>
      </c>
      <c r="D3283" s="55">
        <v>280</v>
      </c>
      <c r="E3283" s="55" t="s">
        <v>5869</v>
      </c>
      <c r="F3283" s="55" t="s">
        <v>231</v>
      </c>
      <c r="G3283" s="55" t="s">
        <v>421</v>
      </c>
      <c r="H3283" s="50" t="s">
        <v>5870</v>
      </c>
    </row>
    <row r="3284" spans="1:62" x14ac:dyDescent="0.2">
      <c r="C3284" s="195">
        <v>44771</v>
      </c>
      <c r="D3284" s="55">
        <v>260</v>
      </c>
      <c r="E3284" s="55" t="s">
        <v>5871</v>
      </c>
      <c r="F3284" s="55" t="s">
        <v>263</v>
      </c>
      <c r="G3284" s="55" t="s">
        <v>426</v>
      </c>
      <c r="H3284" s="50" t="s">
        <v>5872</v>
      </c>
    </row>
    <row r="3285" spans="1:62" x14ac:dyDescent="0.2">
      <c r="C3285" s="195">
        <v>44767</v>
      </c>
      <c r="D3285" s="55">
        <v>280</v>
      </c>
      <c r="E3285" s="55" t="s">
        <v>5873</v>
      </c>
      <c r="F3285" s="55" t="s">
        <v>210</v>
      </c>
      <c r="G3285" s="55" t="s">
        <v>235</v>
      </c>
      <c r="H3285" s="50" t="s">
        <v>5874</v>
      </c>
    </row>
    <row r="3286" spans="1:62" x14ac:dyDescent="0.2">
      <c r="C3286" s="195">
        <v>44767</v>
      </c>
      <c r="D3286" s="55">
        <v>260</v>
      </c>
      <c r="E3286" s="55" t="s">
        <v>5875</v>
      </c>
      <c r="F3286" s="55" t="s">
        <v>206</v>
      </c>
      <c r="G3286" s="55" t="s">
        <v>676</v>
      </c>
      <c r="H3286" s="50" t="s">
        <v>5876</v>
      </c>
    </row>
    <row r="3287" spans="1:62" x14ac:dyDescent="0.2">
      <c r="C3287" s="195">
        <v>44768</v>
      </c>
      <c r="D3287" s="55">
        <v>260</v>
      </c>
      <c r="E3287" s="55" t="s">
        <v>5877</v>
      </c>
      <c r="F3287" s="55" t="s">
        <v>390</v>
      </c>
      <c r="G3287" s="55" t="s">
        <v>671</v>
      </c>
      <c r="H3287" s="50" t="s">
        <v>5878</v>
      </c>
    </row>
    <row r="3288" spans="1:62" x14ac:dyDescent="0.2">
      <c r="A3288" s="57">
        <v>722</v>
      </c>
      <c r="B3288" t="s">
        <v>836</v>
      </c>
      <c r="C3288" s="195">
        <v>44771</v>
      </c>
      <c r="D3288" s="55">
        <v>280</v>
      </c>
      <c r="E3288" s="55" t="s">
        <v>5879</v>
      </c>
      <c r="F3288" s="55" t="s">
        <v>272</v>
      </c>
      <c r="G3288" s="55" t="s">
        <v>273</v>
      </c>
      <c r="H3288" s="50" t="s">
        <v>5880</v>
      </c>
      <c r="I3288" s="46" t="s">
        <v>837</v>
      </c>
    </row>
    <row r="3289" spans="1:62" x14ac:dyDescent="0.2">
      <c r="C3289" s="195">
        <v>44747</v>
      </c>
      <c r="D3289" s="55">
        <v>260</v>
      </c>
      <c r="E3289" s="55" t="s">
        <v>5881</v>
      </c>
      <c r="F3289" s="55" t="s">
        <v>390</v>
      </c>
      <c r="G3289" s="55" t="s">
        <v>408</v>
      </c>
      <c r="H3289" s="50" t="s">
        <v>5882</v>
      </c>
    </row>
    <row r="3290" spans="1:62" x14ac:dyDescent="0.2">
      <c r="C3290" s="195">
        <v>44749</v>
      </c>
      <c r="D3290" s="55">
        <v>280</v>
      </c>
      <c r="E3290" s="55" t="s">
        <v>5883</v>
      </c>
      <c r="F3290" s="55" t="s">
        <v>231</v>
      </c>
      <c r="G3290" s="55" t="s">
        <v>1098</v>
      </c>
      <c r="H3290" s="50" t="s">
        <v>5884</v>
      </c>
    </row>
    <row r="3291" spans="1:62" x14ac:dyDescent="0.2">
      <c r="C3291" s="195">
        <v>44755</v>
      </c>
      <c r="D3291" s="55">
        <v>280</v>
      </c>
      <c r="E3291" s="55" t="s">
        <v>5885</v>
      </c>
      <c r="F3291" s="55" t="s">
        <v>219</v>
      </c>
      <c r="G3291" s="55" t="s">
        <v>220</v>
      </c>
      <c r="H3291" s="50" t="s">
        <v>5886</v>
      </c>
    </row>
    <row r="3292" spans="1:62" x14ac:dyDescent="0.2">
      <c r="C3292" s="195">
        <v>44767</v>
      </c>
      <c r="D3292" s="55">
        <v>280</v>
      </c>
      <c r="E3292" s="55" t="s">
        <v>5887</v>
      </c>
      <c r="F3292" s="55" t="s">
        <v>390</v>
      </c>
      <c r="G3292" s="55" t="s">
        <v>671</v>
      </c>
      <c r="H3292" s="50" t="s">
        <v>5888</v>
      </c>
    </row>
    <row r="3293" spans="1:62" x14ac:dyDescent="0.2">
      <c r="A3293" s="57">
        <v>722</v>
      </c>
      <c r="B3293" t="s">
        <v>836</v>
      </c>
      <c r="C3293" s="195">
        <v>44771</v>
      </c>
      <c r="D3293" s="55">
        <v>280</v>
      </c>
      <c r="E3293" s="55" t="s">
        <v>5889</v>
      </c>
      <c r="F3293" s="55" t="s">
        <v>206</v>
      </c>
      <c r="G3293" s="55" t="s">
        <v>214</v>
      </c>
      <c r="H3293" s="50" t="s">
        <v>5890</v>
      </c>
      <c r="I3293" s="46" t="s">
        <v>839</v>
      </c>
      <c r="J3293" s="52">
        <v>3</v>
      </c>
      <c r="K3293" s="52">
        <v>2</v>
      </c>
      <c r="O3293" s="1">
        <v>2</v>
      </c>
      <c r="S3293" s="1">
        <v>1</v>
      </c>
      <c r="W3293" s="1">
        <v>2</v>
      </c>
      <c r="AA3293" s="1">
        <v>3</v>
      </c>
      <c r="AB3293" s="1">
        <v>1</v>
      </c>
      <c r="AC3293" s="59">
        <v>1</v>
      </c>
      <c r="AD3293" s="1">
        <v>1</v>
      </c>
      <c r="AE3293" s="1">
        <v>1</v>
      </c>
      <c r="AF3293" s="1">
        <v>1</v>
      </c>
      <c r="AG3293">
        <v>4</v>
      </c>
      <c r="AH3293">
        <v>2</v>
      </c>
      <c r="AI3293">
        <v>2</v>
      </c>
      <c r="AJ3293">
        <v>1</v>
      </c>
      <c r="AK3293">
        <v>2</v>
      </c>
      <c r="AL3293">
        <v>2</v>
      </c>
      <c r="AM3293">
        <v>1</v>
      </c>
      <c r="AN3293">
        <v>1</v>
      </c>
      <c r="AO3293">
        <v>2</v>
      </c>
      <c r="AP3293">
        <v>2</v>
      </c>
      <c r="AQ3293">
        <v>2</v>
      </c>
      <c r="AR3293">
        <v>2</v>
      </c>
      <c r="AS3293">
        <v>3</v>
      </c>
      <c r="AT3293">
        <v>4</v>
      </c>
      <c r="AU3293">
        <v>2</v>
      </c>
      <c r="AZ3293">
        <v>5</v>
      </c>
      <c r="BA3293">
        <v>4</v>
      </c>
      <c r="BB3293">
        <v>4</v>
      </c>
      <c r="BC3293">
        <v>4</v>
      </c>
      <c r="BD3293">
        <v>4</v>
      </c>
      <c r="BE3293">
        <v>5</v>
      </c>
      <c r="BJ3293">
        <v>2</v>
      </c>
    </row>
    <row r="3294" spans="1:62" x14ac:dyDescent="0.2">
      <c r="C3294" s="195">
        <v>44757</v>
      </c>
      <c r="D3294" s="55">
        <v>260</v>
      </c>
      <c r="E3294" s="55" t="s">
        <v>5891</v>
      </c>
      <c r="F3294" s="55" t="s">
        <v>263</v>
      </c>
      <c r="G3294" s="55" t="s">
        <v>3747</v>
      </c>
      <c r="H3294" s="50" t="s">
        <v>5892</v>
      </c>
    </row>
    <row r="3295" spans="1:62" x14ac:dyDescent="0.2">
      <c r="C3295" s="195">
        <v>44763</v>
      </c>
      <c r="D3295" s="55">
        <v>280</v>
      </c>
      <c r="E3295" s="55" t="s">
        <v>5893</v>
      </c>
      <c r="F3295" s="55" t="s">
        <v>231</v>
      </c>
      <c r="G3295" s="55" t="s">
        <v>435</v>
      </c>
      <c r="H3295" s="50" t="s">
        <v>5894</v>
      </c>
    </row>
    <row r="3296" spans="1:62" x14ac:dyDescent="0.2">
      <c r="A3296" s="57">
        <v>722</v>
      </c>
      <c r="B3296" t="s">
        <v>836</v>
      </c>
      <c r="C3296" s="195">
        <v>44767</v>
      </c>
      <c r="D3296" s="55">
        <v>260</v>
      </c>
      <c r="E3296" s="55" t="s">
        <v>5895</v>
      </c>
      <c r="F3296" s="55" t="s">
        <v>219</v>
      </c>
      <c r="G3296" s="55" t="s">
        <v>220</v>
      </c>
      <c r="I3296" s="46" t="s">
        <v>839</v>
      </c>
      <c r="J3296" s="52">
        <v>1</v>
      </c>
      <c r="K3296" s="52">
        <v>1</v>
      </c>
      <c r="O3296" s="1">
        <v>1</v>
      </c>
      <c r="S3296" s="1">
        <v>1</v>
      </c>
      <c r="W3296" s="1">
        <v>1</v>
      </c>
      <c r="AA3296" s="1">
        <v>1</v>
      </c>
      <c r="AG3296">
        <v>1</v>
      </c>
      <c r="AM3296">
        <v>4</v>
      </c>
      <c r="AS3296">
        <v>5</v>
      </c>
      <c r="AT3296">
        <v>1</v>
      </c>
      <c r="AU3296">
        <v>1</v>
      </c>
      <c r="AZ3296">
        <v>1</v>
      </c>
      <c r="BA3296">
        <v>1</v>
      </c>
      <c r="BB3296">
        <v>1</v>
      </c>
      <c r="BC3296">
        <v>1</v>
      </c>
      <c r="BD3296">
        <v>1</v>
      </c>
      <c r="BE3296">
        <v>1</v>
      </c>
      <c r="BJ3296">
        <v>1</v>
      </c>
    </row>
    <row r="3297" spans="1:62" x14ac:dyDescent="0.2">
      <c r="C3297" s="195">
        <v>44749</v>
      </c>
      <c r="D3297" s="55">
        <v>280</v>
      </c>
      <c r="E3297" s="55" t="s">
        <v>5896</v>
      </c>
      <c r="F3297" s="55" t="s">
        <v>231</v>
      </c>
      <c r="G3297" s="55" t="s">
        <v>648</v>
      </c>
      <c r="H3297" s="50" t="s">
        <v>5897</v>
      </c>
    </row>
    <row r="3298" spans="1:62" x14ac:dyDescent="0.2">
      <c r="C3298" s="195">
        <v>44753</v>
      </c>
      <c r="D3298" s="55">
        <v>280</v>
      </c>
      <c r="E3298" s="55" t="s">
        <v>5898</v>
      </c>
      <c r="F3298" s="55" t="s">
        <v>263</v>
      </c>
      <c r="G3298" s="55" t="s">
        <v>1005</v>
      </c>
      <c r="H3298" s="50" t="s">
        <v>5899</v>
      </c>
    </row>
    <row r="3299" spans="1:62" x14ac:dyDescent="0.2">
      <c r="C3299" s="195">
        <v>44748</v>
      </c>
      <c r="D3299" s="55">
        <v>280</v>
      </c>
      <c r="E3299" s="55" t="s">
        <v>5900</v>
      </c>
      <c r="F3299" s="55" t="s">
        <v>210</v>
      </c>
      <c r="G3299" s="55" t="s">
        <v>211</v>
      </c>
      <c r="H3299" s="50" t="s">
        <v>5901</v>
      </c>
    </row>
    <row r="3300" spans="1:62" x14ac:dyDescent="0.2">
      <c r="C3300" s="195">
        <v>44753</v>
      </c>
      <c r="D3300" s="55">
        <v>280</v>
      </c>
      <c r="E3300" s="55" t="s">
        <v>5902</v>
      </c>
      <c r="F3300" s="55" t="s">
        <v>267</v>
      </c>
      <c r="G3300" s="55" t="s">
        <v>813</v>
      </c>
      <c r="H3300" s="50" t="s">
        <v>5903</v>
      </c>
    </row>
    <row r="3301" spans="1:62" x14ac:dyDescent="0.2">
      <c r="C3301" s="195">
        <v>44761</v>
      </c>
      <c r="D3301" s="55">
        <v>280</v>
      </c>
      <c r="E3301" s="55" t="s">
        <v>5904</v>
      </c>
      <c r="F3301" s="55" t="s">
        <v>390</v>
      </c>
      <c r="G3301" s="55" t="s">
        <v>408</v>
      </c>
      <c r="H3301" s="50" t="s">
        <v>224</v>
      </c>
    </row>
    <row r="3302" spans="1:62" x14ac:dyDescent="0.2">
      <c r="C3302" s="195">
        <v>44771</v>
      </c>
      <c r="D3302" s="55">
        <v>260</v>
      </c>
      <c r="E3302" s="55" t="s">
        <v>5905</v>
      </c>
      <c r="F3302" s="55" t="s">
        <v>267</v>
      </c>
      <c r="G3302" s="55" t="s">
        <v>268</v>
      </c>
      <c r="H3302" s="50" t="s">
        <v>224</v>
      </c>
    </row>
    <row r="3303" spans="1:62" x14ac:dyDescent="0.2">
      <c r="C3303" s="195">
        <v>44761</v>
      </c>
      <c r="D3303" s="55">
        <v>280</v>
      </c>
      <c r="E3303" s="55" t="s">
        <v>5906</v>
      </c>
      <c r="F3303" s="55" t="s">
        <v>244</v>
      </c>
      <c r="G3303" s="55" t="s">
        <v>696</v>
      </c>
      <c r="H3303" s="50" t="s">
        <v>5907</v>
      </c>
    </row>
    <row r="3304" spans="1:62" x14ac:dyDescent="0.2">
      <c r="C3304" s="195">
        <v>44747</v>
      </c>
      <c r="D3304" s="55">
        <v>260</v>
      </c>
      <c r="E3304" s="55" t="s">
        <v>5908</v>
      </c>
      <c r="F3304" s="55" t="s">
        <v>291</v>
      </c>
      <c r="G3304" s="55" t="s">
        <v>643</v>
      </c>
      <c r="H3304" s="50" t="s">
        <v>5909</v>
      </c>
    </row>
    <row r="3305" spans="1:62" x14ac:dyDescent="0.2">
      <c r="C3305" s="195">
        <v>44748</v>
      </c>
      <c r="D3305" s="55">
        <v>280</v>
      </c>
      <c r="E3305" s="55" t="s">
        <v>5910</v>
      </c>
      <c r="F3305" s="55" t="s">
        <v>231</v>
      </c>
      <c r="G3305" s="55" t="s">
        <v>435</v>
      </c>
      <c r="H3305" s="50" t="s">
        <v>5911</v>
      </c>
    </row>
    <row r="3306" spans="1:62" x14ac:dyDescent="0.2">
      <c r="C3306" s="195">
        <v>44753</v>
      </c>
      <c r="D3306" s="55">
        <v>280</v>
      </c>
      <c r="E3306" s="55" t="s">
        <v>5912</v>
      </c>
      <c r="F3306" s="55" t="s">
        <v>231</v>
      </c>
      <c r="G3306" s="55" t="s">
        <v>1098</v>
      </c>
      <c r="H3306" s="50" t="s">
        <v>5913</v>
      </c>
    </row>
    <row r="3307" spans="1:62" x14ac:dyDescent="0.2">
      <c r="A3307" s="57">
        <v>722</v>
      </c>
      <c r="B3307" t="s">
        <v>836</v>
      </c>
      <c r="C3307" s="195">
        <v>44749</v>
      </c>
      <c r="D3307" s="55">
        <v>260</v>
      </c>
      <c r="E3307" s="55" t="s">
        <v>5914</v>
      </c>
      <c r="F3307" s="55" t="s">
        <v>202</v>
      </c>
      <c r="G3307" s="55" t="s">
        <v>302</v>
      </c>
      <c r="H3307" s="50" t="s">
        <v>5915</v>
      </c>
      <c r="I3307" s="46" t="s">
        <v>839</v>
      </c>
      <c r="J3307" s="52">
        <v>1</v>
      </c>
      <c r="K3307" s="52">
        <v>1</v>
      </c>
      <c r="O3307" s="1">
        <v>2</v>
      </c>
      <c r="S3307" s="1">
        <v>1</v>
      </c>
      <c r="W3307" s="1">
        <v>2</v>
      </c>
      <c r="AA3307" s="1">
        <v>4</v>
      </c>
      <c r="AB3307" s="1">
        <v>1</v>
      </c>
      <c r="AC3307" s="59">
        <v>1</v>
      </c>
      <c r="AD3307" s="1">
        <v>3</v>
      </c>
      <c r="AE3307" s="1">
        <v>1</v>
      </c>
      <c r="AF3307" s="1">
        <v>3</v>
      </c>
      <c r="AG3307">
        <v>3</v>
      </c>
      <c r="AH3307">
        <v>3</v>
      </c>
      <c r="AI3307">
        <v>1</v>
      </c>
      <c r="AJ3307">
        <v>3</v>
      </c>
      <c r="AK3307">
        <v>1</v>
      </c>
      <c r="AL3307">
        <v>3</v>
      </c>
      <c r="AM3307">
        <v>3</v>
      </c>
      <c r="AS3307">
        <v>2</v>
      </c>
      <c r="AT3307">
        <v>2</v>
      </c>
      <c r="AU3307">
        <v>3</v>
      </c>
      <c r="AV3307">
        <v>1</v>
      </c>
      <c r="AW3307">
        <v>1</v>
      </c>
      <c r="AX3307">
        <v>4</v>
      </c>
      <c r="AY3307">
        <v>3</v>
      </c>
      <c r="AZ3307">
        <v>1</v>
      </c>
      <c r="BA3307">
        <v>1</v>
      </c>
      <c r="BB3307">
        <v>1</v>
      </c>
      <c r="BC3307">
        <v>1</v>
      </c>
      <c r="BD3307">
        <v>1</v>
      </c>
      <c r="BE3307">
        <v>1</v>
      </c>
      <c r="BJ3307">
        <v>1</v>
      </c>
    </row>
    <row r="3308" spans="1:62" x14ac:dyDescent="0.2">
      <c r="C3308" s="195">
        <v>44771</v>
      </c>
      <c r="D3308" s="55">
        <v>280</v>
      </c>
      <c r="E3308" s="55" t="s">
        <v>5916</v>
      </c>
      <c r="F3308" s="55" t="s">
        <v>219</v>
      </c>
      <c r="G3308" s="55" t="s">
        <v>220</v>
      </c>
      <c r="H3308" s="50" t="s">
        <v>5917</v>
      </c>
    </row>
    <row r="3309" spans="1:62" x14ac:dyDescent="0.2">
      <c r="C3309" s="195">
        <v>44768</v>
      </c>
      <c r="D3309" s="55">
        <v>280</v>
      </c>
      <c r="E3309" s="55" t="s">
        <v>5918</v>
      </c>
      <c r="F3309" s="55" t="s">
        <v>291</v>
      </c>
      <c r="G3309" s="55" t="s">
        <v>2723</v>
      </c>
      <c r="H3309" s="50" t="s">
        <v>5919</v>
      </c>
    </row>
    <row r="3310" spans="1:62" x14ac:dyDescent="0.2">
      <c r="C3310" s="195">
        <v>44743</v>
      </c>
      <c r="D3310" s="55">
        <v>280</v>
      </c>
      <c r="E3310" s="55" t="s">
        <v>5920</v>
      </c>
      <c r="F3310" s="55" t="s">
        <v>231</v>
      </c>
      <c r="G3310" s="55" t="s">
        <v>3096</v>
      </c>
      <c r="H3310" s="50" t="s">
        <v>5921</v>
      </c>
    </row>
    <row r="3311" spans="1:62" x14ac:dyDescent="0.2">
      <c r="C3311" s="195">
        <v>44743</v>
      </c>
      <c r="D3311" s="55">
        <v>280</v>
      </c>
      <c r="E3311" s="55" t="s">
        <v>5922</v>
      </c>
      <c r="F3311" s="55" t="s">
        <v>192</v>
      </c>
      <c r="G3311" s="55" t="s">
        <v>563</v>
      </c>
      <c r="H3311" s="50" t="s">
        <v>5923</v>
      </c>
    </row>
    <row r="3312" spans="1:62" x14ac:dyDescent="0.2">
      <c r="C3312" s="195">
        <v>44748</v>
      </c>
      <c r="D3312" s="55">
        <v>260</v>
      </c>
      <c r="E3312" s="55" t="s">
        <v>5924</v>
      </c>
      <c r="F3312" s="55" t="s">
        <v>390</v>
      </c>
      <c r="G3312" s="55" t="s">
        <v>391</v>
      </c>
      <c r="H3312" s="50" t="s">
        <v>5925</v>
      </c>
    </row>
    <row r="3313" spans="1:62" x14ac:dyDescent="0.2">
      <c r="C3313" s="195">
        <v>44755</v>
      </c>
      <c r="D3313" s="55">
        <v>260</v>
      </c>
      <c r="E3313" s="55" t="s">
        <v>5926</v>
      </c>
      <c r="F3313" s="55" t="s">
        <v>231</v>
      </c>
      <c r="G3313" s="55" t="s">
        <v>255</v>
      </c>
      <c r="H3313" s="50" t="s">
        <v>5927</v>
      </c>
    </row>
    <row r="3314" spans="1:62" x14ac:dyDescent="0.2">
      <c r="A3314" s="57">
        <v>722</v>
      </c>
      <c r="B3314" t="s">
        <v>836</v>
      </c>
      <c r="C3314" s="195">
        <v>44771</v>
      </c>
      <c r="D3314" s="55">
        <v>280</v>
      </c>
      <c r="E3314" s="55" t="s">
        <v>5928</v>
      </c>
      <c r="F3314" s="55" t="s">
        <v>231</v>
      </c>
      <c r="G3314" s="55" t="s">
        <v>232</v>
      </c>
      <c r="H3314" s="50" t="s">
        <v>224</v>
      </c>
      <c r="I3314" s="46" t="s">
        <v>837</v>
      </c>
    </row>
    <row r="3315" spans="1:62" x14ac:dyDescent="0.2">
      <c r="A3315" s="57">
        <v>722</v>
      </c>
      <c r="B3315" t="s">
        <v>836</v>
      </c>
      <c r="C3315" s="195">
        <v>44764</v>
      </c>
      <c r="D3315" s="55">
        <v>260</v>
      </c>
      <c r="E3315" s="55" t="s">
        <v>5929</v>
      </c>
      <c r="F3315" s="55" t="s">
        <v>210</v>
      </c>
      <c r="G3315" s="55" t="s">
        <v>235</v>
      </c>
      <c r="I3315" s="46" t="s">
        <v>839</v>
      </c>
      <c r="J3315" s="52">
        <v>1</v>
      </c>
      <c r="K3315" s="52">
        <v>1</v>
      </c>
      <c r="O3315" s="1">
        <v>1</v>
      </c>
      <c r="S3315" s="1">
        <v>5</v>
      </c>
      <c r="W3315" s="1">
        <v>5</v>
      </c>
      <c r="AA3315" s="1">
        <v>1</v>
      </c>
      <c r="AG3315">
        <v>1</v>
      </c>
      <c r="AM3315">
        <v>4</v>
      </c>
      <c r="AS3315">
        <v>4</v>
      </c>
      <c r="AT3315">
        <v>1</v>
      </c>
      <c r="AU3315">
        <v>1</v>
      </c>
      <c r="AZ3315">
        <v>1</v>
      </c>
      <c r="BA3315">
        <v>1</v>
      </c>
      <c r="BB3315">
        <v>1</v>
      </c>
      <c r="BC3315">
        <v>1</v>
      </c>
      <c r="BD3315">
        <v>1</v>
      </c>
      <c r="BE3315">
        <v>1</v>
      </c>
      <c r="BJ3315">
        <v>1</v>
      </c>
    </row>
    <row r="3316" spans="1:62" x14ac:dyDescent="0.2">
      <c r="C3316" s="195">
        <v>44767</v>
      </c>
      <c r="D3316" s="55">
        <v>260</v>
      </c>
      <c r="E3316" s="55" t="s">
        <v>5930</v>
      </c>
      <c r="F3316" s="55" t="s">
        <v>219</v>
      </c>
      <c r="G3316" s="55" t="s">
        <v>540</v>
      </c>
      <c r="H3316" s="50" t="s">
        <v>5931</v>
      </c>
    </row>
    <row r="3317" spans="1:62" x14ac:dyDescent="0.2">
      <c r="C3317" s="195">
        <v>44749</v>
      </c>
      <c r="D3317" s="55">
        <v>280</v>
      </c>
      <c r="E3317" s="55" t="s">
        <v>5932</v>
      </c>
      <c r="F3317" s="55" t="s">
        <v>192</v>
      </c>
      <c r="G3317" s="55" t="s">
        <v>487</v>
      </c>
      <c r="H3317" s="50" t="s">
        <v>224</v>
      </c>
    </row>
    <row r="3318" spans="1:62" x14ac:dyDescent="0.2">
      <c r="C3318" s="195">
        <v>44749</v>
      </c>
      <c r="D3318" s="55">
        <v>280</v>
      </c>
      <c r="E3318" s="55" t="s">
        <v>5933</v>
      </c>
      <c r="F3318" s="55" t="s">
        <v>206</v>
      </c>
      <c r="G3318" s="55" t="s">
        <v>228</v>
      </c>
      <c r="H3318" s="50" t="s">
        <v>5934</v>
      </c>
    </row>
    <row r="3319" spans="1:62" x14ac:dyDescent="0.2">
      <c r="C3319" s="195">
        <v>44771</v>
      </c>
      <c r="D3319" s="55">
        <v>280</v>
      </c>
      <c r="E3319" s="55" t="s">
        <v>5935</v>
      </c>
      <c r="F3319" s="55" t="s">
        <v>244</v>
      </c>
      <c r="G3319" s="55" t="s">
        <v>393</v>
      </c>
      <c r="H3319" s="50" t="s">
        <v>5936</v>
      </c>
    </row>
    <row r="3320" spans="1:62" x14ac:dyDescent="0.2">
      <c r="C3320" s="195">
        <v>44750</v>
      </c>
      <c r="D3320" s="55">
        <v>280</v>
      </c>
      <c r="E3320" s="55" t="s">
        <v>5937</v>
      </c>
      <c r="F3320" s="55" t="s">
        <v>263</v>
      </c>
      <c r="G3320" s="55" t="s">
        <v>506</v>
      </c>
      <c r="H3320" s="50" t="s">
        <v>5938</v>
      </c>
    </row>
    <row r="3321" spans="1:62" x14ac:dyDescent="0.2">
      <c r="C3321" s="195">
        <v>44761</v>
      </c>
      <c r="D3321" s="55">
        <v>280</v>
      </c>
      <c r="E3321" s="55" t="s">
        <v>5939</v>
      </c>
      <c r="F3321" s="55" t="s">
        <v>272</v>
      </c>
      <c r="G3321" s="55" t="s">
        <v>1914</v>
      </c>
    </row>
    <row r="3322" spans="1:62" x14ac:dyDescent="0.2">
      <c r="C3322" s="195">
        <v>44767</v>
      </c>
      <c r="D3322" s="55">
        <v>280</v>
      </c>
      <c r="E3322" s="55" t="s">
        <v>5940</v>
      </c>
      <c r="F3322" s="55" t="s">
        <v>202</v>
      </c>
      <c r="G3322" s="55" t="s">
        <v>344</v>
      </c>
      <c r="H3322" s="50" t="s">
        <v>5941</v>
      </c>
    </row>
    <row r="3323" spans="1:62" x14ac:dyDescent="0.2">
      <c r="C3323" s="195">
        <v>44762</v>
      </c>
      <c r="D3323" s="55">
        <v>280</v>
      </c>
      <c r="E3323" s="55" t="s">
        <v>5942</v>
      </c>
      <c r="F3323" s="55" t="s">
        <v>210</v>
      </c>
      <c r="G3323" s="55" t="s">
        <v>306</v>
      </c>
      <c r="H3323" s="50" t="s">
        <v>5943</v>
      </c>
    </row>
    <row r="3324" spans="1:62" x14ac:dyDescent="0.2">
      <c r="C3324" s="195">
        <v>44771</v>
      </c>
      <c r="D3324" s="55">
        <v>280</v>
      </c>
      <c r="E3324" s="55" t="s">
        <v>5944</v>
      </c>
      <c r="F3324" s="55" t="s">
        <v>272</v>
      </c>
      <c r="G3324" s="55" t="s">
        <v>366</v>
      </c>
      <c r="H3324" s="50" t="s">
        <v>5945</v>
      </c>
    </row>
    <row r="3325" spans="1:62" x14ac:dyDescent="0.2">
      <c r="C3325" s="195">
        <v>44747</v>
      </c>
      <c r="D3325" s="55">
        <v>260</v>
      </c>
      <c r="E3325" s="55" t="s">
        <v>5946</v>
      </c>
      <c r="F3325" s="55" t="s">
        <v>231</v>
      </c>
      <c r="G3325" s="55" t="s">
        <v>232</v>
      </c>
      <c r="H3325" s="50" t="s">
        <v>5947</v>
      </c>
    </row>
    <row r="3326" spans="1:62" x14ac:dyDescent="0.2">
      <c r="C3326" s="195">
        <v>44748</v>
      </c>
      <c r="D3326" s="55">
        <v>260</v>
      </c>
      <c r="E3326" s="55" t="s">
        <v>5948</v>
      </c>
      <c r="F3326" s="55" t="s">
        <v>272</v>
      </c>
      <c r="G3326" s="55" t="s">
        <v>1040</v>
      </c>
      <c r="H3326" s="50" t="s">
        <v>5949</v>
      </c>
    </row>
    <row r="3327" spans="1:62" x14ac:dyDescent="0.2">
      <c r="C3327" s="195">
        <v>44750</v>
      </c>
      <c r="D3327" s="55">
        <v>260</v>
      </c>
      <c r="E3327" s="55" t="s">
        <v>5950</v>
      </c>
      <c r="F3327" s="55" t="s">
        <v>390</v>
      </c>
      <c r="G3327" s="55" t="s">
        <v>671</v>
      </c>
      <c r="H3327" s="50" t="s">
        <v>5951</v>
      </c>
    </row>
    <row r="3328" spans="1:62" x14ac:dyDescent="0.2">
      <c r="C3328" s="195">
        <v>44770</v>
      </c>
      <c r="D3328" s="55">
        <v>280</v>
      </c>
      <c r="E3328" s="55" t="s">
        <v>5952</v>
      </c>
      <c r="F3328" s="55" t="s">
        <v>263</v>
      </c>
      <c r="G3328" s="55" t="s">
        <v>506</v>
      </c>
      <c r="H3328" s="50" t="s">
        <v>5953</v>
      </c>
    </row>
    <row r="3329" spans="3:8" x14ac:dyDescent="0.2">
      <c r="C3329" s="195">
        <v>44750</v>
      </c>
      <c r="D3329" s="55">
        <v>280</v>
      </c>
      <c r="E3329" s="55" t="s">
        <v>4834</v>
      </c>
      <c r="F3329" s="55" t="s">
        <v>390</v>
      </c>
      <c r="G3329" s="55" t="s">
        <v>656</v>
      </c>
    </row>
    <row r="3330" spans="3:8" x14ac:dyDescent="0.2">
      <c r="C3330" s="195">
        <v>44781</v>
      </c>
      <c r="D3330" s="55">
        <v>280</v>
      </c>
      <c r="E3330" s="55" t="s">
        <v>5954</v>
      </c>
      <c r="F3330" s="55" t="s">
        <v>192</v>
      </c>
      <c r="G3330" s="55" t="s">
        <v>324</v>
      </c>
      <c r="H3330" s="50" t="s">
        <v>5955</v>
      </c>
    </row>
    <row r="3331" spans="3:8" x14ac:dyDescent="0.2">
      <c r="C3331" s="195">
        <v>44790</v>
      </c>
      <c r="D3331" s="55">
        <v>280</v>
      </c>
      <c r="E3331" s="55" t="s">
        <v>5956</v>
      </c>
      <c r="F3331" s="55" t="s">
        <v>244</v>
      </c>
      <c r="G3331" s="55" t="s">
        <v>767</v>
      </c>
      <c r="H3331" s="50" t="s">
        <v>5957</v>
      </c>
    </row>
    <row r="3332" spans="3:8" x14ac:dyDescent="0.2">
      <c r="C3332" s="195">
        <v>44804</v>
      </c>
      <c r="D3332" s="55">
        <v>260</v>
      </c>
      <c r="E3332" s="55" t="s">
        <v>5958</v>
      </c>
      <c r="F3332" s="55" t="s">
        <v>291</v>
      </c>
      <c r="G3332" s="55" t="s">
        <v>1215</v>
      </c>
      <c r="H3332" s="50" t="s">
        <v>5959</v>
      </c>
    </row>
    <row r="3333" spans="3:8" x14ac:dyDescent="0.2">
      <c r="C3333" s="195">
        <v>44790</v>
      </c>
      <c r="D3333" s="55">
        <v>260</v>
      </c>
      <c r="E3333" s="55" t="s">
        <v>5960</v>
      </c>
      <c r="F3333" s="55" t="s">
        <v>210</v>
      </c>
      <c r="G3333" s="55" t="s">
        <v>508</v>
      </c>
      <c r="H3333" s="50" t="s">
        <v>224</v>
      </c>
    </row>
    <row r="3334" spans="3:8" x14ac:dyDescent="0.2">
      <c r="C3334" s="195">
        <v>44782</v>
      </c>
      <c r="D3334" s="55">
        <v>280</v>
      </c>
      <c r="E3334" s="55" t="s">
        <v>5961</v>
      </c>
      <c r="F3334" s="55" t="s">
        <v>206</v>
      </c>
      <c r="G3334" s="55" t="s">
        <v>228</v>
      </c>
      <c r="H3334" s="50" t="s">
        <v>5962</v>
      </c>
    </row>
    <row r="3335" spans="3:8" x14ac:dyDescent="0.2">
      <c r="C3335" s="195">
        <v>44799</v>
      </c>
      <c r="D3335" s="55">
        <v>260</v>
      </c>
      <c r="E3335" s="55" t="s">
        <v>5963</v>
      </c>
      <c r="F3335" s="55" t="s">
        <v>231</v>
      </c>
      <c r="G3335" s="55" t="s">
        <v>1241</v>
      </c>
      <c r="H3335" s="50" t="s">
        <v>5964</v>
      </c>
    </row>
    <row r="3336" spans="3:8" x14ac:dyDescent="0.2">
      <c r="C3336" s="195">
        <v>44781</v>
      </c>
      <c r="D3336" s="55">
        <v>260</v>
      </c>
      <c r="E3336" s="55" t="s">
        <v>5965</v>
      </c>
      <c r="F3336" s="55" t="s">
        <v>192</v>
      </c>
      <c r="G3336" s="55" t="s">
        <v>640</v>
      </c>
      <c r="H3336" s="50" t="s">
        <v>5966</v>
      </c>
    </row>
    <row r="3337" spans="3:8" x14ac:dyDescent="0.2">
      <c r="C3337" s="195">
        <v>44790</v>
      </c>
      <c r="D3337" s="55">
        <v>280</v>
      </c>
      <c r="E3337" s="55" t="s">
        <v>5967</v>
      </c>
      <c r="F3337" s="55" t="s">
        <v>210</v>
      </c>
      <c r="G3337" s="55" t="s">
        <v>383</v>
      </c>
      <c r="H3337" s="50" t="s">
        <v>5968</v>
      </c>
    </row>
    <row r="3338" spans="3:8" x14ac:dyDescent="0.2">
      <c r="C3338" s="195">
        <v>44791</v>
      </c>
      <c r="D3338" s="55">
        <v>260</v>
      </c>
      <c r="E3338" s="55" t="s">
        <v>5969</v>
      </c>
      <c r="F3338" s="55" t="s">
        <v>267</v>
      </c>
      <c r="G3338" s="55" t="s">
        <v>535</v>
      </c>
      <c r="H3338" s="50" t="s">
        <v>5970</v>
      </c>
    </row>
    <row r="3339" spans="3:8" x14ac:dyDescent="0.2">
      <c r="C3339" s="195">
        <v>44785</v>
      </c>
      <c r="D3339" s="55">
        <v>260</v>
      </c>
      <c r="E3339" s="55" t="s">
        <v>5971</v>
      </c>
      <c r="F3339" s="55" t="s">
        <v>390</v>
      </c>
      <c r="G3339" s="55" t="s">
        <v>490</v>
      </c>
      <c r="H3339" s="50" t="s">
        <v>5972</v>
      </c>
    </row>
    <row r="3340" spans="3:8" x14ac:dyDescent="0.2">
      <c r="C3340" s="195">
        <v>44795</v>
      </c>
      <c r="D3340" s="55">
        <v>280</v>
      </c>
      <c r="E3340" s="55" t="s">
        <v>5973</v>
      </c>
      <c r="F3340" s="55" t="s">
        <v>263</v>
      </c>
      <c r="G3340" s="55" t="s">
        <v>506</v>
      </c>
      <c r="H3340" s="50" t="s">
        <v>224</v>
      </c>
    </row>
    <row r="3341" spans="3:8" x14ac:dyDescent="0.2">
      <c r="C3341" s="195">
        <v>44798</v>
      </c>
      <c r="D3341" s="55">
        <v>280</v>
      </c>
      <c r="E3341" s="55" t="s">
        <v>5974</v>
      </c>
      <c r="F3341" s="55" t="s">
        <v>244</v>
      </c>
      <c r="G3341" s="55" t="s">
        <v>767</v>
      </c>
      <c r="H3341" s="50" t="s">
        <v>224</v>
      </c>
    </row>
    <row r="3342" spans="3:8" x14ac:dyDescent="0.2">
      <c r="C3342" s="195">
        <v>44785</v>
      </c>
      <c r="D3342" s="55">
        <v>280</v>
      </c>
      <c r="E3342" s="55" t="s">
        <v>5975</v>
      </c>
      <c r="F3342" s="55" t="s">
        <v>244</v>
      </c>
      <c r="G3342" s="55" t="s">
        <v>393</v>
      </c>
      <c r="H3342" s="50" t="s">
        <v>5976</v>
      </c>
    </row>
    <row r="3343" spans="3:8" x14ac:dyDescent="0.2">
      <c r="C3343" s="195">
        <v>44796</v>
      </c>
      <c r="D3343" s="55">
        <v>280</v>
      </c>
      <c r="E3343" s="55" t="s">
        <v>5977</v>
      </c>
      <c r="F3343" s="55" t="s">
        <v>202</v>
      </c>
      <c r="G3343" s="55" t="s">
        <v>276</v>
      </c>
      <c r="H3343" s="50" t="s">
        <v>5978</v>
      </c>
    </row>
    <row r="3344" spans="3:8" x14ac:dyDescent="0.2">
      <c r="C3344" s="195">
        <v>44789</v>
      </c>
      <c r="D3344" s="55">
        <v>280</v>
      </c>
      <c r="E3344" s="55" t="s">
        <v>5979</v>
      </c>
      <c r="F3344" s="55" t="s">
        <v>263</v>
      </c>
      <c r="G3344" s="55" t="s">
        <v>693</v>
      </c>
      <c r="H3344" s="50" t="s">
        <v>224</v>
      </c>
    </row>
    <row r="3345" spans="3:8" x14ac:dyDescent="0.2">
      <c r="C3345" s="195">
        <v>44803</v>
      </c>
      <c r="D3345" s="55">
        <v>280</v>
      </c>
      <c r="E3345" s="55" t="s">
        <v>5980</v>
      </c>
      <c r="F3345" s="55" t="s">
        <v>210</v>
      </c>
      <c r="G3345" s="55" t="s">
        <v>1095</v>
      </c>
      <c r="H3345" s="50" t="s">
        <v>5981</v>
      </c>
    </row>
    <row r="3346" spans="3:8" x14ac:dyDescent="0.2">
      <c r="C3346" s="195">
        <v>44790</v>
      </c>
      <c r="D3346" s="55">
        <v>280</v>
      </c>
      <c r="E3346" s="55" t="s">
        <v>5982</v>
      </c>
      <c r="F3346" s="55" t="s">
        <v>390</v>
      </c>
      <c r="G3346" s="55" t="s">
        <v>408</v>
      </c>
      <c r="H3346" s="50" t="s">
        <v>5983</v>
      </c>
    </row>
    <row r="3347" spans="3:8" x14ac:dyDescent="0.2">
      <c r="C3347" s="195">
        <v>44804</v>
      </c>
      <c r="D3347" s="55">
        <v>280</v>
      </c>
      <c r="E3347" s="55" t="s">
        <v>5984</v>
      </c>
      <c r="F3347" s="55" t="s">
        <v>196</v>
      </c>
      <c r="G3347" s="55" t="s">
        <v>415</v>
      </c>
      <c r="H3347" s="50" t="s">
        <v>5985</v>
      </c>
    </row>
    <row r="3348" spans="3:8" x14ac:dyDescent="0.2">
      <c r="C3348" s="195">
        <v>44781</v>
      </c>
      <c r="D3348" s="55">
        <v>280</v>
      </c>
      <c r="E3348" s="55" t="s">
        <v>5986</v>
      </c>
      <c r="F3348" s="55" t="s">
        <v>244</v>
      </c>
      <c r="G3348" s="55" t="s">
        <v>1085</v>
      </c>
      <c r="H3348" s="50" t="s">
        <v>5987</v>
      </c>
    </row>
    <row r="3349" spans="3:8" x14ac:dyDescent="0.2">
      <c r="C3349" s="195">
        <v>44790</v>
      </c>
      <c r="D3349" s="55">
        <v>260</v>
      </c>
      <c r="E3349" s="55" t="s">
        <v>5988</v>
      </c>
      <c r="F3349" s="55" t="s">
        <v>263</v>
      </c>
      <c r="G3349" s="55" t="s">
        <v>506</v>
      </c>
      <c r="H3349" s="50" t="s">
        <v>5989</v>
      </c>
    </row>
    <row r="3350" spans="3:8" x14ac:dyDescent="0.2">
      <c r="C3350" s="195">
        <v>44783</v>
      </c>
      <c r="D3350" s="55">
        <v>280</v>
      </c>
      <c r="E3350" s="55" t="s">
        <v>5990</v>
      </c>
      <c r="F3350" s="55" t="s">
        <v>231</v>
      </c>
      <c r="G3350" s="55" t="s">
        <v>371</v>
      </c>
      <c r="H3350" s="50" t="s">
        <v>5991</v>
      </c>
    </row>
    <row r="3351" spans="3:8" x14ac:dyDescent="0.2">
      <c r="C3351" s="195">
        <v>44784</v>
      </c>
      <c r="D3351" s="55">
        <v>260</v>
      </c>
      <c r="E3351" s="55" t="s">
        <v>5992</v>
      </c>
      <c r="F3351" s="55" t="s">
        <v>244</v>
      </c>
      <c r="G3351" s="55" t="s">
        <v>393</v>
      </c>
      <c r="H3351" s="50" t="s">
        <v>5993</v>
      </c>
    </row>
    <row r="3352" spans="3:8" x14ac:dyDescent="0.2">
      <c r="C3352" s="195">
        <v>44783</v>
      </c>
      <c r="D3352" s="55">
        <v>280</v>
      </c>
      <c r="E3352" s="55" t="s">
        <v>5994</v>
      </c>
      <c r="F3352" s="55" t="s">
        <v>244</v>
      </c>
      <c r="G3352" s="55" t="s">
        <v>696</v>
      </c>
      <c r="H3352" s="50" t="s">
        <v>5995</v>
      </c>
    </row>
    <row r="3353" spans="3:8" x14ac:dyDescent="0.2">
      <c r="C3353" s="195">
        <v>44803</v>
      </c>
      <c r="D3353" s="55">
        <v>260</v>
      </c>
      <c r="E3353" s="55" t="s">
        <v>5996</v>
      </c>
      <c r="F3353" s="55" t="s">
        <v>202</v>
      </c>
      <c r="G3353" s="55" t="s">
        <v>321</v>
      </c>
      <c r="H3353" s="50" t="s">
        <v>5997</v>
      </c>
    </row>
    <row r="3354" spans="3:8" x14ac:dyDescent="0.2">
      <c r="C3354" s="195">
        <v>44802</v>
      </c>
      <c r="D3354" s="55">
        <v>280</v>
      </c>
      <c r="E3354" s="55" t="s">
        <v>5998</v>
      </c>
      <c r="F3354" s="55" t="s">
        <v>291</v>
      </c>
      <c r="G3354" s="55" t="s">
        <v>480</v>
      </c>
      <c r="H3354" s="50" t="s">
        <v>5999</v>
      </c>
    </row>
    <row r="3355" spans="3:8" x14ac:dyDescent="0.2">
      <c r="C3355" s="195">
        <v>44802</v>
      </c>
      <c r="D3355" s="55">
        <v>260</v>
      </c>
      <c r="E3355" s="55" t="s">
        <v>6000</v>
      </c>
      <c r="F3355" s="55" t="s">
        <v>210</v>
      </c>
      <c r="G3355" s="55" t="s">
        <v>508</v>
      </c>
      <c r="H3355" s="50" t="s">
        <v>6001</v>
      </c>
    </row>
    <row r="3356" spans="3:8" x14ac:dyDescent="0.2">
      <c r="C3356" s="195">
        <v>44791</v>
      </c>
      <c r="D3356" s="55">
        <v>280</v>
      </c>
      <c r="E3356" s="55" t="s">
        <v>6002</v>
      </c>
      <c r="F3356" s="55" t="s">
        <v>263</v>
      </c>
      <c r="G3356" s="55" t="s">
        <v>506</v>
      </c>
      <c r="H3356" s="50" t="s">
        <v>6003</v>
      </c>
    </row>
    <row r="3357" spans="3:8" x14ac:dyDescent="0.2">
      <c r="C3357" s="195">
        <v>44791</v>
      </c>
      <c r="D3357" s="55">
        <v>260</v>
      </c>
      <c r="E3357" s="55" t="s">
        <v>6004</v>
      </c>
      <c r="F3357" s="55" t="s">
        <v>210</v>
      </c>
      <c r="G3357" s="55" t="s">
        <v>496</v>
      </c>
      <c r="H3357" s="50" t="s">
        <v>6005</v>
      </c>
    </row>
    <row r="3358" spans="3:8" x14ac:dyDescent="0.2">
      <c r="C3358" s="195">
        <v>44797</v>
      </c>
      <c r="D3358" s="55">
        <v>260</v>
      </c>
      <c r="E3358" s="55" t="s">
        <v>6006</v>
      </c>
      <c r="F3358" s="55" t="s">
        <v>219</v>
      </c>
      <c r="G3358" s="55" t="s">
        <v>223</v>
      </c>
      <c r="H3358" s="50" t="s">
        <v>6007</v>
      </c>
    </row>
    <row r="3359" spans="3:8" x14ac:dyDescent="0.2">
      <c r="C3359" s="195">
        <v>44798</v>
      </c>
      <c r="D3359" s="55">
        <v>280</v>
      </c>
      <c r="E3359" s="55" t="s">
        <v>6008</v>
      </c>
      <c r="F3359" s="55" t="s">
        <v>244</v>
      </c>
      <c r="G3359" s="55" t="s">
        <v>767</v>
      </c>
      <c r="H3359" s="50" t="s">
        <v>6009</v>
      </c>
    </row>
    <row r="3360" spans="3:8" x14ac:dyDescent="0.2">
      <c r="C3360" s="195">
        <v>44774</v>
      </c>
      <c r="D3360" s="55">
        <v>280</v>
      </c>
      <c r="E3360" s="55" t="s">
        <v>6010</v>
      </c>
      <c r="F3360" s="55" t="s">
        <v>210</v>
      </c>
      <c r="G3360" s="55" t="s">
        <v>235</v>
      </c>
      <c r="H3360" s="50" t="s">
        <v>224</v>
      </c>
    </row>
    <row r="3361" spans="1:9" x14ac:dyDescent="0.2">
      <c r="C3361" s="195">
        <v>44790</v>
      </c>
      <c r="D3361" s="55">
        <v>280</v>
      </c>
      <c r="E3361" s="55" t="s">
        <v>6011</v>
      </c>
      <c r="F3361" s="55" t="s">
        <v>231</v>
      </c>
      <c r="G3361" s="55" t="s">
        <v>3096</v>
      </c>
      <c r="H3361" s="50" t="s">
        <v>6012</v>
      </c>
    </row>
    <row r="3362" spans="1:9" x14ac:dyDescent="0.2">
      <c r="C3362" s="195">
        <v>44798</v>
      </c>
      <c r="D3362" s="55">
        <v>280</v>
      </c>
      <c r="E3362" s="55" t="s">
        <v>6013</v>
      </c>
      <c r="F3362" s="55" t="s">
        <v>210</v>
      </c>
      <c r="G3362" s="55" t="s">
        <v>235</v>
      </c>
      <c r="H3362" s="50" t="s">
        <v>6014</v>
      </c>
    </row>
    <row r="3363" spans="1:9" x14ac:dyDescent="0.2">
      <c r="C3363" s="195">
        <v>44782</v>
      </c>
      <c r="D3363" s="55">
        <v>280</v>
      </c>
      <c r="E3363" s="55" t="s">
        <v>6015</v>
      </c>
      <c r="F3363" s="55" t="s">
        <v>267</v>
      </c>
      <c r="G3363" s="55" t="s">
        <v>4098</v>
      </c>
      <c r="H3363" s="50" t="s">
        <v>6016</v>
      </c>
    </row>
    <row r="3364" spans="1:9" x14ac:dyDescent="0.2">
      <c r="C3364" s="195">
        <v>44785</v>
      </c>
      <c r="D3364" s="55">
        <v>260</v>
      </c>
      <c r="E3364" s="55" t="s">
        <v>6017</v>
      </c>
      <c r="F3364" s="55" t="s">
        <v>267</v>
      </c>
      <c r="G3364" s="55" t="s">
        <v>4098</v>
      </c>
      <c r="H3364" s="50" t="s">
        <v>6018</v>
      </c>
    </row>
    <row r="3365" spans="1:9" x14ac:dyDescent="0.2">
      <c r="C3365" s="195">
        <v>44778</v>
      </c>
      <c r="D3365" s="55">
        <v>280</v>
      </c>
      <c r="E3365" s="55" t="s">
        <v>6019</v>
      </c>
      <c r="F3365" s="55" t="s">
        <v>192</v>
      </c>
      <c r="G3365" s="55" t="s">
        <v>487</v>
      </c>
      <c r="H3365" s="50" t="s">
        <v>6020</v>
      </c>
    </row>
    <row r="3366" spans="1:9" x14ac:dyDescent="0.2">
      <c r="C3366" s="195">
        <v>44783</v>
      </c>
      <c r="D3366" s="55">
        <v>260</v>
      </c>
      <c r="E3366" s="55" t="s">
        <v>6021</v>
      </c>
      <c r="F3366" s="55" t="s">
        <v>272</v>
      </c>
      <c r="G3366" s="55" t="s">
        <v>1040</v>
      </c>
      <c r="H3366" s="50" t="s">
        <v>6022</v>
      </c>
    </row>
    <row r="3367" spans="1:9" x14ac:dyDescent="0.2">
      <c r="C3367" s="195">
        <v>44785</v>
      </c>
      <c r="D3367" s="55">
        <v>280</v>
      </c>
      <c r="E3367" s="55" t="s">
        <v>6023</v>
      </c>
      <c r="F3367" s="55" t="s">
        <v>196</v>
      </c>
      <c r="G3367" s="55" t="s">
        <v>645</v>
      </c>
      <c r="H3367" s="50" t="s">
        <v>224</v>
      </c>
    </row>
    <row r="3368" spans="1:9" x14ac:dyDescent="0.2">
      <c r="A3368" s="57">
        <v>822</v>
      </c>
      <c r="B3368" t="s">
        <v>836</v>
      </c>
      <c r="C3368" s="195">
        <v>44789</v>
      </c>
      <c r="D3368" s="55">
        <v>280</v>
      </c>
      <c r="E3368" s="55" t="s">
        <v>6024</v>
      </c>
      <c r="F3368" s="55" t="s">
        <v>267</v>
      </c>
      <c r="G3368" s="55" t="s">
        <v>4098</v>
      </c>
      <c r="I3368" s="46" t="s">
        <v>837</v>
      </c>
    </row>
    <row r="3369" spans="1:9" x14ac:dyDescent="0.2">
      <c r="C3369" s="195">
        <v>44792</v>
      </c>
      <c r="D3369" s="55">
        <v>260</v>
      </c>
      <c r="E3369" s="55" t="s">
        <v>6025</v>
      </c>
      <c r="F3369" s="55" t="s">
        <v>231</v>
      </c>
      <c r="G3369" s="55" t="s">
        <v>232</v>
      </c>
      <c r="H3369" s="50" t="s">
        <v>6026</v>
      </c>
    </row>
    <row r="3370" spans="1:9" x14ac:dyDescent="0.2">
      <c r="C3370" s="195">
        <v>44775</v>
      </c>
      <c r="D3370" s="55">
        <v>260</v>
      </c>
      <c r="E3370" s="55" t="s">
        <v>6027</v>
      </c>
      <c r="F3370" s="55" t="s">
        <v>263</v>
      </c>
      <c r="G3370" s="55" t="s">
        <v>264</v>
      </c>
      <c r="H3370" s="50" t="s">
        <v>6028</v>
      </c>
    </row>
    <row r="3371" spans="1:9" x14ac:dyDescent="0.2">
      <c r="C3371" s="195">
        <v>44799</v>
      </c>
      <c r="D3371" s="55">
        <v>280</v>
      </c>
      <c r="E3371" s="55" t="s">
        <v>6029</v>
      </c>
      <c r="F3371" s="55" t="s">
        <v>202</v>
      </c>
      <c r="G3371" s="55" t="s">
        <v>2033</v>
      </c>
      <c r="H3371" s="50" t="s">
        <v>6030</v>
      </c>
    </row>
    <row r="3372" spans="1:9" x14ac:dyDescent="0.2">
      <c r="C3372" s="195">
        <v>44799</v>
      </c>
      <c r="D3372" s="55">
        <v>280</v>
      </c>
      <c r="E3372" s="55" t="s">
        <v>6031</v>
      </c>
      <c r="F3372" s="55" t="s">
        <v>263</v>
      </c>
      <c r="G3372" s="55" t="s">
        <v>506</v>
      </c>
      <c r="H3372" s="50" t="s">
        <v>6032</v>
      </c>
    </row>
    <row r="3373" spans="1:9" x14ac:dyDescent="0.2">
      <c r="C3373" s="195">
        <v>44783</v>
      </c>
      <c r="D3373" s="55">
        <v>260</v>
      </c>
      <c r="E3373" s="55" t="s">
        <v>6033</v>
      </c>
      <c r="F3373" s="55" t="s">
        <v>206</v>
      </c>
      <c r="G3373" s="55" t="s">
        <v>228</v>
      </c>
      <c r="H3373" s="50" t="s">
        <v>6034</v>
      </c>
    </row>
    <row r="3374" spans="1:9" x14ac:dyDescent="0.2">
      <c r="C3374" s="195">
        <v>44797</v>
      </c>
      <c r="D3374" s="55">
        <v>260</v>
      </c>
      <c r="E3374" s="55" t="s">
        <v>6035</v>
      </c>
      <c r="F3374" s="55" t="s">
        <v>263</v>
      </c>
      <c r="G3374" s="55" t="s">
        <v>633</v>
      </c>
      <c r="H3374" s="50" t="s">
        <v>6036</v>
      </c>
    </row>
    <row r="3375" spans="1:9" x14ac:dyDescent="0.2">
      <c r="C3375" s="195">
        <v>44804</v>
      </c>
      <c r="D3375" s="55">
        <v>260</v>
      </c>
      <c r="E3375" s="55" t="s">
        <v>6037</v>
      </c>
      <c r="F3375" s="55" t="s">
        <v>219</v>
      </c>
      <c r="G3375" s="55" t="s">
        <v>3710</v>
      </c>
      <c r="H3375" s="50" t="s">
        <v>6038</v>
      </c>
    </row>
    <row r="3376" spans="1:9" x14ac:dyDescent="0.2">
      <c r="C3376" s="195">
        <v>44789</v>
      </c>
      <c r="D3376" s="55">
        <v>280</v>
      </c>
      <c r="E3376" s="55" t="s">
        <v>6039</v>
      </c>
      <c r="F3376" s="55" t="s">
        <v>231</v>
      </c>
      <c r="G3376" s="55" t="s">
        <v>1098</v>
      </c>
      <c r="H3376" s="50" t="s">
        <v>6040</v>
      </c>
    </row>
    <row r="3377" spans="1:62" x14ac:dyDescent="0.2">
      <c r="C3377" s="195">
        <v>44803</v>
      </c>
      <c r="D3377" s="55">
        <v>260</v>
      </c>
      <c r="E3377" s="55" t="s">
        <v>6041</v>
      </c>
      <c r="F3377" s="55" t="s">
        <v>267</v>
      </c>
      <c r="G3377" s="55" t="s">
        <v>357</v>
      </c>
    </row>
    <row r="3378" spans="1:62" x14ac:dyDescent="0.2">
      <c r="C3378" s="195">
        <v>44797</v>
      </c>
      <c r="D3378" s="55">
        <v>280</v>
      </c>
      <c r="E3378" s="55" t="s">
        <v>6042</v>
      </c>
      <c r="F3378" s="55" t="s">
        <v>196</v>
      </c>
      <c r="G3378" s="55" t="s">
        <v>349</v>
      </c>
      <c r="H3378" s="50" t="s">
        <v>6043</v>
      </c>
    </row>
    <row r="3379" spans="1:62" x14ac:dyDescent="0.2">
      <c r="A3379" s="57">
        <v>822</v>
      </c>
      <c r="B3379" t="s">
        <v>836</v>
      </c>
      <c r="C3379" s="195">
        <v>44803</v>
      </c>
      <c r="D3379" s="55">
        <v>260</v>
      </c>
      <c r="E3379" s="55" t="s">
        <v>6044</v>
      </c>
      <c r="F3379" s="55" t="s">
        <v>272</v>
      </c>
      <c r="G3379" s="55" t="s">
        <v>273</v>
      </c>
      <c r="H3379" s="50" t="s">
        <v>224</v>
      </c>
      <c r="I3379" s="46" t="s">
        <v>839</v>
      </c>
      <c r="J3379" s="52">
        <v>1</v>
      </c>
      <c r="K3379" s="52">
        <v>1</v>
      </c>
      <c r="O3379" s="1">
        <v>5</v>
      </c>
      <c r="S3379" s="1">
        <v>1</v>
      </c>
      <c r="W3379" s="1">
        <v>1</v>
      </c>
      <c r="AA3379" s="1">
        <v>1</v>
      </c>
      <c r="AG3379">
        <v>2</v>
      </c>
      <c r="AM3379">
        <v>3</v>
      </c>
      <c r="AS3379">
        <v>4</v>
      </c>
      <c r="AT3379">
        <v>1</v>
      </c>
      <c r="AU3379">
        <v>2</v>
      </c>
      <c r="AZ3379">
        <v>1</v>
      </c>
      <c r="BA3379">
        <v>1</v>
      </c>
      <c r="BB3379">
        <v>1</v>
      </c>
      <c r="BC3379">
        <v>1</v>
      </c>
      <c r="BD3379">
        <v>1</v>
      </c>
      <c r="BE3379">
        <v>1</v>
      </c>
      <c r="BJ3379">
        <v>1</v>
      </c>
    </row>
    <row r="3380" spans="1:62" x14ac:dyDescent="0.2">
      <c r="C3380" s="195">
        <v>44798</v>
      </c>
      <c r="D3380" s="55">
        <v>280</v>
      </c>
      <c r="E3380" s="55" t="s">
        <v>6045</v>
      </c>
      <c r="F3380" s="55" t="s">
        <v>231</v>
      </c>
      <c r="G3380" s="55" t="s">
        <v>232</v>
      </c>
      <c r="H3380" s="50" t="s">
        <v>6046</v>
      </c>
    </row>
    <row r="3381" spans="1:62" x14ac:dyDescent="0.2">
      <c r="C3381" s="195">
        <v>44791</v>
      </c>
      <c r="D3381" s="55">
        <v>280</v>
      </c>
      <c r="E3381" s="55" t="s">
        <v>6047</v>
      </c>
      <c r="F3381" s="55" t="s">
        <v>263</v>
      </c>
      <c r="G3381" s="55" t="s">
        <v>426</v>
      </c>
      <c r="H3381" s="50" t="s">
        <v>6048</v>
      </c>
    </row>
    <row r="3382" spans="1:62" x14ac:dyDescent="0.2">
      <c r="A3382" s="57">
        <v>822</v>
      </c>
      <c r="B3382" t="s">
        <v>836</v>
      </c>
      <c r="C3382" s="195">
        <v>44789</v>
      </c>
      <c r="D3382" s="55">
        <v>280</v>
      </c>
      <c r="E3382" s="55" t="s">
        <v>6049</v>
      </c>
      <c r="F3382" s="55" t="s">
        <v>202</v>
      </c>
      <c r="G3382" s="55" t="s">
        <v>344</v>
      </c>
      <c r="I3382" s="46" t="s">
        <v>839</v>
      </c>
      <c r="J3382" s="52">
        <v>3</v>
      </c>
      <c r="K3382" s="52">
        <v>2</v>
      </c>
      <c r="O3382" s="1">
        <v>2</v>
      </c>
      <c r="S3382" s="1">
        <v>1</v>
      </c>
      <c r="W3382" s="1">
        <v>1</v>
      </c>
      <c r="AA3382" s="1">
        <v>1</v>
      </c>
      <c r="AG3382">
        <v>3</v>
      </c>
      <c r="AH3382">
        <v>1</v>
      </c>
      <c r="AI3382">
        <v>1</v>
      </c>
      <c r="AJ3382">
        <v>1</v>
      </c>
      <c r="AK3382">
        <v>1</v>
      </c>
      <c r="AL3382">
        <v>2</v>
      </c>
      <c r="AM3382">
        <v>1</v>
      </c>
      <c r="AN3382">
        <v>1</v>
      </c>
      <c r="AO3382">
        <v>1</v>
      </c>
      <c r="AP3382">
        <v>2</v>
      </c>
      <c r="AQ3382">
        <v>2</v>
      </c>
      <c r="AR3382">
        <v>2</v>
      </c>
      <c r="AS3382">
        <v>2</v>
      </c>
      <c r="AT3382">
        <v>2</v>
      </c>
      <c r="AU3382">
        <v>2</v>
      </c>
      <c r="AZ3382">
        <v>3</v>
      </c>
      <c r="BA3382">
        <v>1</v>
      </c>
      <c r="BB3382">
        <v>1</v>
      </c>
      <c r="BC3382">
        <v>1</v>
      </c>
      <c r="BD3382">
        <v>1</v>
      </c>
      <c r="BE3382">
        <v>3</v>
      </c>
      <c r="BF3382">
        <v>2</v>
      </c>
      <c r="BG3382">
        <v>1</v>
      </c>
      <c r="BH3382">
        <v>1</v>
      </c>
      <c r="BI3382">
        <v>1</v>
      </c>
      <c r="BJ3382">
        <v>1</v>
      </c>
    </row>
    <row r="3383" spans="1:62" x14ac:dyDescent="0.2">
      <c r="C3383" s="195">
        <v>44797</v>
      </c>
      <c r="D3383" s="55">
        <v>260</v>
      </c>
      <c r="E3383" s="55" t="s">
        <v>6050</v>
      </c>
      <c r="F3383" s="55" t="s">
        <v>267</v>
      </c>
      <c r="G3383" s="55" t="s">
        <v>442</v>
      </c>
      <c r="H3383" s="50" t="s">
        <v>6051</v>
      </c>
    </row>
    <row r="3384" spans="1:62" x14ac:dyDescent="0.2">
      <c r="C3384" s="195">
        <v>44781</v>
      </c>
      <c r="D3384" s="55">
        <v>260</v>
      </c>
      <c r="E3384" s="55" t="s">
        <v>6052</v>
      </c>
      <c r="F3384" s="55" t="s">
        <v>244</v>
      </c>
      <c r="G3384" s="55" t="s">
        <v>1085</v>
      </c>
      <c r="H3384" s="50" t="s">
        <v>6053</v>
      </c>
    </row>
    <row r="3385" spans="1:62" x14ac:dyDescent="0.2">
      <c r="C3385" s="195">
        <v>44789</v>
      </c>
      <c r="D3385" s="55">
        <v>260</v>
      </c>
      <c r="E3385" s="55" t="s">
        <v>6054</v>
      </c>
      <c r="F3385" s="55" t="s">
        <v>210</v>
      </c>
      <c r="G3385" s="55" t="s">
        <v>496</v>
      </c>
      <c r="H3385" s="50" t="s">
        <v>6055</v>
      </c>
    </row>
    <row r="3386" spans="1:62" x14ac:dyDescent="0.2">
      <c r="C3386" s="195">
        <v>44795</v>
      </c>
      <c r="D3386" s="55">
        <v>260</v>
      </c>
      <c r="E3386" s="55" t="s">
        <v>6056</v>
      </c>
      <c r="F3386" s="55" t="s">
        <v>231</v>
      </c>
      <c r="G3386" s="55" t="s">
        <v>648</v>
      </c>
      <c r="H3386" s="50" t="s">
        <v>6057</v>
      </c>
    </row>
    <row r="3387" spans="1:62" x14ac:dyDescent="0.2">
      <c r="C3387" s="195">
        <v>44775</v>
      </c>
      <c r="D3387" s="55">
        <v>280</v>
      </c>
      <c r="E3387" s="55" t="s">
        <v>6058</v>
      </c>
      <c r="F3387" s="55" t="s">
        <v>263</v>
      </c>
      <c r="G3387" s="55" t="s">
        <v>426</v>
      </c>
      <c r="H3387" s="50" t="s">
        <v>6059</v>
      </c>
    </row>
    <row r="3388" spans="1:62" x14ac:dyDescent="0.2">
      <c r="C3388" s="195">
        <v>44785</v>
      </c>
      <c r="D3388" s="55">
        <v>260</v>
      </c>
      <c r="E3388" s="55" t="s">
        <v>6060</v>
      </c>
      <c r="F3388" s="55" t="s">
        <v>192</v>
      </c>
      <c r="G3388" s="55" t="s">
        <v>563</v>
      </c>
      <c r="H3388" s="50" t="s">
        <v>6061</v>
      </c>
    </row>
    <row r="3389" spans="1:62" x14ac:dyDescent="0.2">
      <c r="C3389" s="195">
        <v>44775</v>
      </c>
      <c r="D3389" s="55">
        <v>260</v>
      </c>
      <c r="E3389" s="55" t="s">
        <v>6062</v>
      </c>
      <c r="F3389" s="55" t="s">
        <v>291</v>
      </c>
      <c r="G3389" s="55" t="s">
        <v>607</v>
      </c>
      <c r="H3389" s="50" t="s">
        <v>6063</v>
      </c>
    </row>
    <row r="3390" spans="1:62" x14ac:dyDescent="0.2">
      <c r="C3390" s="195">
        <v>44790</v>
      </c>
      <c r="D3390" s="55">
        <v>280</v>
      </c>
      <c r="E3390" s="55" t="s">
        <v>6064</v>
      </c>
      <c r="F3390" s="55" t="s">
        <v>272</v>
      </c>
      <c r="G3390" s="55" t="s">
        <v>6065</v>
      </c>
      <c r="H3390" s="50" t="s">
        <v>6066</v>
      </c>
    </row>
    <row r="3391" spans="1:62" x14ac:dyDescent="0.2">
      <c r="C3391" s="195">
        <v>44784</v>
      </c>
      <c r="D3391" s="55">
        <v>280</v>
      </c>
      <c r="E3391" s="55" t="s">
        <v>6067</v>
      </c>
      <c r="F3391" s="55" t="s">
        <v>390</v>
      </c>
      <c r="G3391" s="55" t="s">
        <v>671</v>
      </c>
      <c r="H3391" s="50" t="s">
        <v>6068</v>
      </c>
    </row>
    <row r="3392" spans="1:62" x14ac:dyDescent="0.2">
      <c r="C3392" s="195">
        <v>44783</v>
      </c>
      <c r="D3392" s="55">
        <v>260</v>
      </c>
      <c r="E3392" s="55" t="s">
        <v>6069</v>
      </c>
      <c r="F3392" s="55" t="s">
        <v>206</v>
      </c>
      <c r="G3392" s="55" t="s">
        <v>228</v>
      </c>
      <c r="H3392" s="50" t="s">
        <v>6070</v>
      </c>
    </row>
    <row r="3393" spans="3:8" x14ac:dyDescent="0.2">
      <c r="C3393" s="195">
        <v>44784</v>
      </c>
      <c r="D3393" s="55">
        <v>260</v>
      </c>
      <c r="E3393" s="55" t="s">
        <v>6071</v>
      </c>
      <c r="F3393" s="55" t="s">
        <v>244</v>
      </c>
      <c r="G3393" s="55" t="s">
        <v>393</v>
      </c>
      <c r="H3393" s="50" t="s">
        <v>6072</v>
      </c>
    </row>
    <row r="3394" spans="3:8" x14ac:dyDescent="0.2">
      <c r="C3394" s="195">
        <v>44802</v>
      </c>
      <c r="D3394" s="55">
        <v>280</v>
      </c>
      <c r="E3394" s="55" t="s">
        <v>6073</v>
      </c>
      <c r="F3394" s="55" t="s">
        <v>231</v>
      </c>
      <c r="G3394" s="55" t="s">
        <v>1098</v>
      </c>
      <c r="H3394" s="50" t="s">
        <v>6074</v>
      </c>
    </row>
    <row r="3395" spans="3:8" x14ac:dyDescent="0.2">
      <c r="C3395" s="195">
        <v>44802</v>
      </c>
      <c r="D3395" s="55">
        <v>260</v>
      </c>
      <c r="E3395" s="55" t="s">
        <v>6075</v>
      </c>
      <c r="F3395" s="55" t="s">
        <v>231</v>
      </c>
      <c r="G3395" s="55" t="s">
        <v>435</v>
      </c>
      <c r="H3395" s="50" t="s">
        <v>6076</v>
      </c>
    </row>
    <row r="3396" spans="3:8" x14ac:dyDescent="0.2">
      <c r="C3396" s="195">
        <v>44803</v>
      </c>
      <c r="D3396" s="55">
        <v>260</v>
      </c>
      <c r="E3396" s="55" t="s">
        <v>6077</v>
      </c>
      <c r="F3396" s="55" t="s">
        <v>192</v>
      </c>
      <c r="G3396" s="55" t="s">
        <v>487</v>
      </c>
      <c r="H3396" s="50" t="s">
        <v>6078</v>
      </c>
    </row>
    <row r="3397" spans="3:8" x14ac:dyDescent="0.2">
      <c r="C3397" s="195">
        <v>44799</v>
      </c>
      <c r="D3397" s="55">
        <v>280</v>
      </c>
      <c r="E3397" s="55" t="s">
        <v>6079</v>
      </c>
      <c r="F3397" s="55" t="s">
        <v>267</v>
      </c>
      <c r="G3397" s="55" t="s">
        <v>4098</v>
      </c>
    </row>
    <row r="3398" spans="3:8" x14ac:dyDescent="0.2">
      <c r="C3398" s="195">
        <v>44790</v>
      </c>
      <c r="D3398" s="55">
        <v>280</v>
      </c>
      <c r="E3398" s="55" t="s">
        <v>6080</v>
      </c>
      <c r="F3398" s="55" t="s">
        <v>244</v>
      </c>
      <c r="G3398" s="55" t="s">
        <v>696</v>
      </c>
      <c r="H3398" s="50" t="s">
        <v>6081</v>
      </c>
    </row>
    <row r="3399" spans="3:8" x14ac:dyDescent="0.2">
      <c r="C3399" s="195">
        <v>44789</v>
      </c>
      <c r="D3399" s="55">
        <v>260</v>
      </c>
      <c r="E3399" s="55" t="s">
        <v>6082</v>
      </c>
      <c r="F3399" s="55" t="s">
        <v>272</v>
      </c>
      <c r="G3399" s="55" t="s">
        <v>1914</v>
      </c>
      <c r="H3399" s="50" t="s">
        <v>6083</v>
      </c>
    </row>
    <row r="3400" spans="3:8" x14ac:dyDescent="0.2">
      <c r="C3400" s="195">
        <v>44782</v>
      </c>
      <c r="D3400" s="55">
        <v>260</v>
      </c>
      <c r="E3400" s="55" t="s">
        <v>6084</v>
      </c>
      <c r="F3400" s="55" t="s">
        <v>202</v>
      </c>
      <c r="G3400" s="55" t="s">
        <v>302</v>
      </c>
      <c r="H3400" s="50" t="s">
        <v>6085</v>
      </c>
    </row>
    <row r="3401" spans="3:8" x14ac:dyDescent="0.2">
      <c r="C3401" s="195">
        <v>44781</v>
      </c>
      <c r="D3401" s="55">
        <v>260</v>
      </c>
      <c r="E3401" s="55" t="s">
        <v>6086</v>
      </c>
      <c r="F3401" s="55" t="s">
        <v>263</v>
      </c>
      <c r="G3401" s="55" t="s">
        <v>3242</v>
      </c>
      <c r="H3401" s="50" t="s">
        <v>6087</v>
      </c>
    </row>
    <row r="3402" spans="3:8" x14ac:dyDescent="0.2">
      <c r="C3402" s="195">
        <v>44802</v>
      </c>
      <c r="D3402" s="55">
        <v>260</v>
      </c>
      <c r="E3402" s="55" t="s">
        <v>6088</v>
      </c>
      <c r="F3402" s="55" t="s">
        <v>390</v>
      </c>
      <c r="G3402" s="55" t="s">
        <v>490</v>
      </c>
      <c r="H3402" s="50" t="s">
        <v>224</v>
      </c>
    </row>
    <row r="3403" spans="3:8" x14ac:dyDescent="0.2">
      <c r="C3403" s="195">
        <v>44796</v>
      </c>
      <c r="D3403" s="55">
        <v>260</v>
      </c>
      <c r="E3403" s="55" t="s">
        <v>6089</v>
      </c>
      <c r="F3403" s="55" t="s">
        <v>219</v>
      </c>
      <c r="G3403" s="55" t="s">
        <v>540</v>
      </c>
      <c r="H3403" s="50" t="s">
        <v>6090</v>
      </c>
    </row>
    <row r="3404" spans="3:8" x14ac:dyDescent="0.2">
      <c r="C3404" s="195">
        <v>44784</v>
      </c>
      <c r="D3404" s="55">
        <v>280</v>
      </c>
      <c r="E3404" s="55" t="s">
        <v>6091</v>
      </c>
      <c r="F3404" s="55" t="s">
        <v>263</v>
      </c>
      <c r="G3404" s="55" t="s">
        <v>426</v>
      </c>
      <c r="H3404" s="50" t="s">
        <v>6092</v>
      </c>
    </row>
    <row r="3405" spans="3:8" x14ac:dyDescent="0.2">
      <c r="C3405" s="195">
        <v>44802</v>
      </c>
      <c r="D3405" s="55">
        <v>260</v>
      </c>
      <c r="E3405" s="55" t="s">
        <v>6093</v>
      </c>
      <c r="F3405" s="55" t="s">
        <v>231</v>
      </c>
      <c r="G3405" s="55" t="s">
        <v>421</v>
      </c>
      <c r="H3405" s="50" t="s">
        <v>6094</v>
      </c>
    </row>
    <row r="3406" spans="3:8" x14ac:dyDescent="0.2">
      <c r="C3406" s="195">
        <v>44783</v>
      </c>
      <c r="D3406" s="55">
        <v>260</v>
      </c>
      <c r="E3406" s="55" t="s">
        <v>6095</v>
      </c>
      <c r="F3406" s="55" t="s">
        <v>196</v>
      </c>
      <c r="G3406" s="55" t="s">
        <v>349</v>
      </c>
      <c r="H3406" s="50" t="s">
        <v>224</v>
      </c>
    </row>
    <row r="3407" spans="3:8" x14ac:dyDescent="0.2">
      <c r="C3407" s="195">
        <v>44787</v>
      </c>
      <c r="D3407" s="55">
        <v>280</v>
      </c>
      <c r="E3407" s="55" t="s">
        <v>6096</v>
      </c>
      <c r="F3407" s="55" t="s">
        <v>263</v>
      </c>
      <c r="G3407" s="55" t="s">
        <v>1005</v>
      </c>
      <c r="H3407" s="50" t="s">
        <v>6097</v>
      </c>
    </row>
    <row r="3408" spans="3:8" x14ac:dyDescent="0.2">
      <c r="C3408" s="195">
        <v>44803</v>
      </c>
      <c r="D3408" s="55">
        <v>260</v>
      </c>
      <c r="E3408" s="55" t="s">
        <v>6098</v>
      </c>
      <c r="F3408" s="55" t="s">
        <v>390</v>
      </c>
      <c r="G3408" s="55" t="s">
        <v>490</v>
      </c>
      <c r="H3408" s="50" t="s">
        <v>6099</v>
      </c>
    </row>
    <row r="3409" spans="3:8" x14ac:dyDescent="0.2">
      <c r="C3409" s="195">
        <v>44803</v>
      </c>
      <c r="D3409" s="55">
        <v>280</v>
      </c>
      <c r="E3409" s="55" t="s">
        <v>6100</v>
      </c>
      <c r="F3409" s="55" t="s">
        <v>390</v>
      </c>
      <c r="G3409" s="55" t="s">
        <v>490</v>
      </c>
      <c r="H3409" s="50" t="s">
        <v>6101</v>
      </c>
    </row>
    <row r="3410" spans="3:8" x14ac:dyDescent="0.2">
      <c r="C3410" s="195">
        <v>44796</v>
      </c>
      <c r="D3410" s="55">
        <v>280</v>
      </c>
      <c r="E3410" s="55" t="s">
        <v>6102</v>
      </c>
      <c r="F3410" s="55" t="s">
        <v>390</v>
      </c>
      <c r="G3410" s="55" t="s">
        <v>590</v>
      </c>
      <c r="H3410" s="50" t="s">
        <v>6103</v>
      </c>
    </row>
    <row r="3411" spans="3:8" x14ac:dyDescent="0.2">
      <c r="C3411" s="195">
        <v>44781</v>
      </c>
      <c r="D3411" s="55">
        <v>280</v>
      </c>
      <c r="E3411" s="55" t="s">
        <v>6104</v>
      </c>
      <c r="F3411" s="55" t="s">
        <v>244</v>
      </c>
      <c r="G3411" s="55" t="s">
        <v>378</v>
      </c>
      <c r="H3411" s="50" t="s">
        <v>224</v>
      </c>
    </row>
    <row r="3412" spans="3:8" x14ac:dyDescent="0.2">
      <c r="C3412" s="195">
        <v>44797</v>
      </c>
      <c r="D3412" s="55">
        <v>280</v>
      </c>
      <c r="E3412" s="55" t="s">
        <v>6105</v>
      </c>
      <c r="F3412" s="55" t="s">
        <v>196</v>
      </c>
      <c r="G3412" s="55" t="s">
        <v>349</v>
      </c>
      <c r="H3412" s="50" t="s">
        <v>6106</v>
      </c>
    </row>
    <row r="3413" spans="3:8" x14ac:dyDescent="0.2">
      <c r="C3413" s="195">
        <v>44788</v>
      </c>
      <c r="D3413" s="55">
        <v>260</v>
      </c>
      <c r="E3413" s="55" t="s">
        <v>6107</v>
      </c>
      <c r="F3413" s="55" t="s">
        <v>263</v>
      </c>
      <c r="G3413" s="55" t="s">
        <v>806</v>
      </c>
      <c r="H3413" s="50" t="s">
        <v>6108</v>
      </c>
    </row>
    <row r="3414" spans="3:8" x14ac:dyDescent="0.2">
      <c r="C3414" s="195">
        <v>44791</v>
      </c>
      <c r="D3414" s="55">
        <v>260</v>
      </c>
      <c r="E3414" s="55" t="s">
        <v>6109</v>
      </c>
      <c r="F3414" s="55" t="s">
        <v>219</v>
      </c>
      <c r="G3414" s="55" t="s">
        <v>249</v>
      </c>
      <c r="H3414" s="50" t="s">
        <v>6110</v>
      </c>
    </row>
    <row r="3415" spans="3:8" x14ac:dyDescent="0.2">
      <c r="C3415" s="195">
        <v>44777</v>
      </c>
      <c r="D3415" s="55">
        <v>260</v>
      </c>
      <c r="E3415" s="55" t="s">
        <v>6111</v>
      </c>
      <c r="F3415" s="55" t="s">
        <v>390</v>
      </c>
      <c r="G3415" s="55" t="s">
        <v>671</v>
      </c>
      <c r="H3415" s="50" t="s">
        <v>6112</v>
      </c>
    </row>
    <row r="3416" spans="3:8" x14ac:dyDescent="0.2">
      <c r="C3416" s="195">
        <v>44792</v>
      </c>
      <c r="D3416" s="55">
        <v>280</v>
      </c>
      <c r="E3416" s="55" t="s">
        <v>6113</v>
      </c>
      <c r="F3416" s="55" t="s">
        <v>263</v>
      </c>
      <c r="G3416" s="55" t="s">
        <v>892</v>
      </c>
      <c r="H3416" s="50" t="s">
        <v>6114</v>
      </c>
    </row>
    <row r="3417" spans="3:8" x14ac:dyDescent="0.2">
      <c r="C3417" s="195">
        <v>44781</v>
      </c>
      <c r="D3417" s="55">
        <v>280</v>
      </c>
      <c r="E3417" s="55" t="s">
        <v>6115</v>
      </c>
      <c r="F3417" s="55" t="s">
        <v>390</v>
      </c>
      <c r="G3417" s="55" t="s">
        <v>490</v>
      </c>
      <c r="H3417" s="50" t="s">
        <v>224</v>
      </c>
    </row>
    <row r="3418" spans="3:8" x14ac:dyDescent="0.2">
      <c r="C3418" s="195">
        <v>44782</v>
      </c>
      <c r="D3418" s="55">
        <v>260</v>
      </c>
      <c r="E3418" s="55" t="s">
        <v>6116</v>
      </c>
      <c r="F3418" s="55" t="s">
        <v>267</v>
      </c>
      <c r="G3418" s="55" t="s">
        <v>442</v>
      </c>
      <c r="H3418" s="50" t="s">
        <v>6117</v>
      </c>
    </row>
    <row r="3419" spans="3:8" x14ac:dyDescent="0.2">
      <c r="C3419" s="195">
        <v>44798</v>
      </c>
      <c r="D3419" s="55">
        <v>280</v>
      </c>
      <c r="E3419" s="55" t="s">
        <v>6118</v>
      </c>
      <c r="F3419" s="55" t="s">
        <v>231</v>
      </c>
      <c r="G3419" s="55" t="s">
        <v>232</v>
      </c>
      <c r="H3419" s="50" t="s">
        <v>224</v>
      </c>
    </row>
    <row r="3420" spans="3:8" x14ac:dyDescent="0.2">
      <c r="C3420" s="195">
        <v>44798</v>
      </c>
      <c r="D3420" s="55">
        <v>260</v>
      </c>
      <c r="E3420" s="55" t="s">
        <v>6119</v>
      </c>
      <c r="F3420" s="55" t="s">
        <v>263</v>
      </c>
      <c r="G3420" s="55" t="s">
        <v>806</v>
      </c>
      <c r="H3420" s="50" t="s">
        <v>6120</v>
      </c>
    </row>
    <row r="3421" spans="3:8" x14ac:dyDescent="0.2">
      <c r="C3421" s="195">
        <v>44783</v>
      </c>
      <c r="D3421" s="55">
        <v>280</v>
      </c>
      <c r="E3421" s="55" t="s">
        <v>6121</v>
      </c>
      <c r="F3421" s="55" t="s">
        <v>244</v>
      </c>
      <c r="G3421" s="55" t="s">
        <v>767</v>
      </c>
      <c r="H3421" s="50" t="s">
        <v>6122</v>
      </c>
    </row>
    <row r="3422" spans="3:8" x14ac:dyDescent="0.2">
      <c r="C3422" s="195">
        <v>44781</v>
      </c>
      <c r="D3422" s="55">
        <v>260</v>
      </c>
      <c r="E3422" s="55" t="s">
        <v>6123</v>
      </c>
      <c r="F3422" s="55" t="s">
        <v>192</v>
      </c>
      <c r="G3422" s="55" t="s">
        <v>640</v>
      </c>
      <c r="H3422" s="50" t="s">
        <v>6124</v>
      </c>
    </row>
    <row r="3423" spans="3:8" x14ac:dyDescent="0.2">
      <c r="C3423" s="195">
        <v>44799</v>
      </c>
      <c r="D3423" s="55">
        <v>280</v>
      </c>
      <c r="E3423" s="55" t="s">
        <v>6125</v>
      </c>
      <c r="F3423" s="55" t="s">
        <v>272</v>
      </c>
      <c r="G3423" s="55" t="s">
        <v>3408</v>
      </c>
      <c r="H3423" s="50" t="s">
        <v>6126</v>
      </c>
    </row>
    <row r="3424" spans="3:8" x14ac:dyDescent="0.2">
      <c r="C3424" s="195">
        <v>44776</v>
      </c>
      <c r="D3424" s="55">
        <v>280</v>
      </c>
      <c r="E3424" s="55" t="s">
        <v>6127</v>
      </c>
      <c r="F3424" s="55" t="s">
        <v>202</v>
      </c>
      <c r="G3424" s="55" t="s">
        <v>1146</v>
      </c>
      <c r="H3424" s="50" t="s">
        <v>6128</v>
      </c>
    </row>
    <row r="3425" spans="1:9" x14ac:dyDescent="0.2">
      <c r="C3425" s="195">
        <v>44781</v>
      </c>
      <c r="D3425" s="55">
        <v>260</v>
      </c>
      <c r="E3425" s="55" t="s">
        <v>6129</v>
      </c>
      <c r="F3425" s="55" t="s">
        <v>192</v>
      </c>
      <c r="G3425" s="55" t="s">
        <v>640</v>
      </c>
      <c r="H3425" s="50" t="s">
        <v>6130</v>
      </c>
    </row>
    <row r="3426" spans="1:9" x14ac:dyDescent="0.2">
      <c r="C3426" s="195">
        <v>44804</v>
      </c>
      <c r="D3426" s="55">
        <v>280</v>
      </c>
      <c r="E3426" s="55" t="s">
        <v>3150</v>
      </c>
      <c r="F3426" s="55" t="s">
        <v>192</v>
      </c>
      <c r="G3426" s="55" t="s">
        <v>487</v>
      </c>
      <c r="H3426" s="50" t="s">
        <v>224</v>
      </c>
    </row>
    <row r="3427" spans="1:9" x14ac:dyDescent="0.2">
      <c r="C3427" s="195">
        <v>44782</v>
      </c>
      <c r="D3427" s="55">
        <v>280</v>
      </c>
      <c r="E3427" s="55" t="s">
        <v>6131</v>
      </c>
      <c r="F3427" s="55" t="s">
        <v>272</v>
      </c>
      <c r="G3427" s="55" t="s">
        <v>6065</v>
      </c>
      <c r="H3427" s="50" t="s">
        <v>6132</v>
      </c>
    </row>
    <row r="3428" spans="1:9" x14ac:dyDescent="0.2">
      <c r="C3428" s="195">
        <v>44796</v>
      </c>
      <c r="D3428" s="55">
        <v>280</v>
      </c>
      <c r="E3428" s="55" t="s">
        <v>6133</v>
      </c>
      <c r="F3428" s="55" t="s">
        <v>219</v>
      </c>
      <c r="G3428" s="55" t="s">
        <v>540</v>
      </c>
      <c r="H3428" s="50" t="s">
        <v>6134</v>
      </c>
    </row>
    <row r="3429" spans="1:9" x14ac:dyDescent="0.2">
      <c r="C3429" s="195">
        <v>44797</v>
      </c>
      <c r="D3429" s="55">
        <v>260</v>
      </c>
      <c r="E3429" s="55" t="s">
        <v>6135</v>
      </c>
      <c r="F3429" s="55" t="s">
        <v>267</v>
      </c>
      <c r="G3429" s="55" t="s">
        <v>268</v>
      </c>
      <c r="H3429" s="50" t="s">
        <v>6136</v>
      </c>
    </row>
    <row r="3430" spans="1:9" x14ac:dyDescent="0.2">
      <c r="C3430" s="195">
        <v>44804</v>
      </c>
      <c r="D3430" s="55">
        <v>260</v>
      </c>
      <c r="E3430" s="55" t="s">
        <v>6137</v>
      </c>
      <c r="F3430" s="55" t="s">
        <v>202</v>
      </c>
      <c r="G3430" s="55" t="s">
        <v>1146</v>
      </c>
      <c r="H3430" s="50" t="s">
        <v>6138</v>
      </c>
    </row>
    <row r="3431" spans="1:9" x14ac:dyDescent="0.2">
      <c r="C3431" s="195">
        <v>44796</v>
      </c>
      <c r="D3431" s="55">
        <v>280</v>
      </c>
      <c r="E3431" s="55" t="s">
        <v>6139</v>
      </c>
      <c r="F3431" s="55" t="s">
        <v>291</v>
      </c>
      <c r="G3431" s="55" t="s">
        <v>643</v>
      </c>
      <c r="H3431" s="50" t="s">
        <v>6140</v>
      </c>
    </row>
    <row r="3432" spans="1:9" x14ac:dyDescent="0.2">
      <c r="C3432" s="195">
        <v>44796</v>
      </c>
      <c r="D3432" s="55">
        <v>260</v>
      </c>
      <c r="E3432" s="55" t="s">
        <v>6141</v>
      </c>
      <c r="F3432" s="55" t="s">
        <v>196</v>
      </c>
      <c r="G3432" s="55" t="s">
        <v>349</v>
      </c>
      <c r="H3432" s="50" t="s">
        <v>6142</v>
      </c>
    </row>
    <row r="3433" spans="1:9" x14ac:dyDescent="0.2">
      <c r="C3433" s="195">
        <v>44804</v>
      </c>
      <c r="D3433" s="55">
        <v>260</v>
      </c>
      <c r="E3433" s="55" t="s">
        <v>6143</v>
      </c>
      <c r="F3433" s="55" t="s">
        <v>390</v>
      </c>
      <c r="G3433" s="55" t="s">
        <v>779</v>
      </c>
      <c r="H3433" s="50" t="s">
        <v>6144</v>
      </c>
    </row>
    <row r="3434" spans="1:9" x14ac:dyDescent="0.2">
      <c r="C3434" s="195">
        <v>44784</v>
      </c>
      <c r="D3434" s="55">
        <v>260</v>
      </c>
      <c r="E3434" s="55" t="s">
        <v>6145</v>
      </c>
      <c r="F3434" s="55" t="s">
        <v>390</v>
      </c>
      <c r="G3434" s="55" t="s">
        <v>671</v>
      </c>
      <c r="H3434" s="50" t="s">
        <v>6146</v>
      </c>
    </row>
    <row r="3435" spans="1:9" x14ac:dyDescent="0.2">
      <c r="A3435" s="57">
        <v>822</v>
      </c>
      <c r="B3435" t="s">
        <v>836</v>
      </c>
      <c r="C3435" s="195">
        <v>44775</v>
      </c>
      <c r="D3435" s="55">
        <v>280</v>
      </c>
      <c r="E3435" s="55" t="s">
        <v>6147</v>
      </c>
      <c r="F3435" s="55" t="s">
        <v>244</v>
      </c>
      <c r="G3435" s="55" t="s">
        <v>696</v>
      </c>
      <c r="H3435" s="50" t="s">
        <v>224</v>
      </c>
      <c r="I3435" s="46" t="s">
        <v>837</v>
      </c>
    </row>
    <row r="3436" spans="1:9" x14ac:dyDescent="0.2">
      <c r="C3436" s="195">
        <v>44781</v>
      </c>
      <c r="D3436" s="55">
        <v>260</v>
      </c>
      <c r="E3436" s="55" t="s">
        <v>6148</v>
      </c>
      <c r="F3436" s="55" t="s">
        <v>244</v>
      </c>
      <c r="G3436" s="55" t="s">
        <v>696</v>
      </c>
      <c r="H3436" s="50" t="s">
        <v>6149</v>
      </c>
    </row>
    <row r="3437" spans="1:9" x14ac:dyDescent="0.2">
      <c r="C3437" s="195">
        <v>44797</v>
      </c>
      <c r="D3437" s="55">
        <v>280</v>
      </c>
      <c r="E3437" s="55" t="s">
        <v>6150</v>
      </c>
      <c r="F3437" s="55" t="s">
        <v>244</v>
      </c>
      <c r="G3437" s="55" t="s">
        <v>294</v>
      </c>
      <c r="H3437" s="50" t="s">
        <v>6151</v>
      </c>
    </row>
    <row r="3438" spans="1:9" x14ac:dyDescent="0.2">
      <c r="C3438" s="195">
        <v>44791</v>
      </c>
      <c r="D3438" s="55">
        <v>280</v>
      </c>
      <c r="E3438" s="55" t="s">
        <v>6152</v>
      </c>
      <c r="F3438" s="55" t="s">
        <v>263</v>
      </c>
      <c r="G3438" s="55" t="s">
        <v>633</v>
      </c>
      <c r="H3438" s="50" t="s">
        <v>6153</v>
      </c>
    </row>
    <row r="3439" spans="1:9" x14ac:dyDescent="0.2">
      <c r="C3439" s="195">
        <v>44804</v>
      </c>
      <c r="D3439" s="55">
        <v>280</v>
      </c>
      <c r="E3439" s="55" t="s">
        <v>6154</v>
      </c>
      <c r="F3439" s="55" t="s">
        <v>291</v>
      </c>
      <c r="G3439" s="55" t="s">
        <v>819</v>
      </c>
      <c r="H3439" s="50" t="s">
        <v>6155</v>
      </c>
    </row>
    <row r="3440" spans="1:9" x14ac:dyDescent="0.2">
      <c r="C3440" s="195">
        <v>44795</v>
      </c>
      <c r="D3440" s="55">
        <v>280</v>
      </c>
      <c r="E3440" s="55" t="s">
        <v>6156</v>
      </c>
      <c r="F3440" s="55" t="s">
        <v>196</v>
      </c>
      <c r="G3440" s="55" t="s">
        <v>197</v>
      </c>
      <c r="H3440" s="50" t="s">
        <v>224</v>
      </c>
    </row>
    <row r="3441" spans="1:62" x14ac:dyDescent="0.2">
      <c r="C3441" s="195">
        <v>44804</v>
      </c>
      <c r="D3441" s="55">
        <v>260</v>
      </c>
      <c r="E3441" s="55" t="s">
        <v>6157</v>
      </c>
      <c r="F3441" s="55" t="s">
        <v>202</v>
      </c>
      <c r="G3441" s="55" t="s">
        <v>302</v>
      </c>
      <c r="H3441" s="50" t="s">
        <v>6158</v>
      </c>
    </row>
    <row r="3442" spans="1:62" x14ac:dyDescent="0.2">
      <c r="C3442" s="195">
        <v>44790</v>
      </c>
      <c r="D3442" s="55">
        <v>260</v>
      </c>
      <c r="E3442" s="55" t="s">
        <v>6159</v>
      </c>
      <c r="F3442" s="55" t="s">
        <v>196</v>
      </c>
      <c r="G3442" s="55" t="s">
        <v>361</v>
      </c>
      <c r="H3442" s="50" t="s">
        <v>6160</v>
      </c>
    </row>
    <row r="3443" spans="1:62" x14ac:dyDescent="0.2">
      <c r="C3443" s="195">
        <v>44785</v>
      </c>
      <c r="D3443" s="55">
        <v>260</v>
      </c>
      <c r="E3443" s="55" t="s">
        <v>6161</v>
      </c>
      <c r="F3443" s="55" t="s">
        <v>192</v>
      </c>
      <c r="G3443" s="55" t="s">
        <v>193</v>
      </c>
      <c r="H3443" s="50" t="s">
        <v>6162</v>
      </c>
    </row>
    <row r="3444" spans="1:62" x14ac:dyDescent="0.2">
      <c r="C3444" s="195">
        <v>44798</v>
      </c>
      <c r="D3444" s="55">
        <v>280</v>
      </c>
      <c r="E3444" s="55" t="s">
        <v>6163</v>
      </c>
      <c r="F3444" s="55" t="s">
        <v>206</v>
      </c>
      <c r="G3444" s="55" t="s">
        <v>568</v>
      </c>
      <c r="H3444" s="50" t="s">
        <v>6164</v>
      </c>
    </row>
    <row r="3445" spans="1:62" x14ac:dyDescent="0.2">
      <c r="C3445" s="195">
        <v>44785</v>
      </c>
      <c r="D3445" s="55">
        <v>280</v>
      </c>
      <c r="E3445" s="55" t="s">
        <v>6165</v>
      </c>
      <c r="F3445" s="55" t="s">
        <v>202</v>
      </c>
      <c r="G3445" s="55" t="s">
        <v>203</v>
      </c>
      <c r="H3445" s="50" t="s">
        <v>224</v>
      </c>
    </row>
    <row r="3446" spans="1:62" x14ac:dyDescent="0.2">
      <c r="C3446" s="195">
        <v>44778</v>
      </c>
      <c r="D3446" s="55">
        <v>280</v>
      </c>
      <c r="E3446" s="55" t="s">
        <v>6166</v>
      </c>
      <c r="F3446" s="55" t="s">
        <v>206</v>
      </c>
      <c r="G3446" s="55" t="s">
        <v>568</v>
      </c>
      <c r="H3446" s="50" t="s">
        <v>6167</v>
      </c>
    </row>
    <row r="3447" spans="1:62" x14ac:dyDescent="0.2">
      <c r="C3447" s="195">
        <v>44799</v>
      </c>
      <c r="D3447" s="55">
        <v>280</v>
      </c>
      <c r="E3447" s="55" t="s">
        <v>6168</v>
      </c>
      <c r="F3447" s="55" t="s">
        <v>196</v>
      </c>
      <c r="G3447" s="55" t="s">
        <v>5446</v>
      </c>
      <c r="H3447" s="50" t="s">
        <v>6169</v>
      </c>
    </row>
    <row r="3448" spans="1:62" x14ac:dyDescent="0.2">
      <c r="C3448" s="195">
        <v>44792</v>
      </c>
      <c r="D3448" s="55">
        <v>280</v>
      </c>
      <c r="E3448" s="55" t="s">
        <v>6170</v>
      </c>
      <c r="F3448" s="55" t="s">
        <v>219</v>
      </c>
      <c r="G3448" s="55" t="s">
        <v>3710</v>
      </c>
      <c r="H3448" s="50" t="s">
        <v>6171</v>
      </c>
    </row>
    <row r="3449" spans="1:62" x14ac:dyDescent="0.2">
      <c r="C3449" s="195">
        <v>44797</v>
      </c>
      <c r="D3449" s="55">
        <v>260</v>
      </c>
      <c r="E3449" s="55" t="s">
        <v>6172</v>
      </c>
      <c r="F3449" s="55" t="s">
        <v>267</v>
      </c>
      <c r="G3449" s="55" t="s">
        <v>442</v>
      </c>
      <c r="H3449" s="50" t="s">
        <v>6173</v>
      </c>
    </row>
    <row r="3450" spans="1:62" x14ac:dyDescent="0.2">
      <c r="C3450" s="195">
        <v>44802</v>
      </c>
      <c r="D3450" s="55">
        <v>280</v>
      </c>
      <c r="E3450" s="55" t="s">
        <v>6174</v>
      </c>
      <c r="F3450" s="55" t="s">
        <v>196</v>
      </c>
      <c r="G3450" s="55" t="s">
        <v>415</v>
      </c>
      <c r="H3450" s="50" t="s">
        <v>6175</v>
      </c>
    </row>
    <row r="3451" spans="1:62" x14ac:dyDescent="0.2">
      <c r="C3451" s="195">
        <v>44782</v>
      </c>
      <c r="D3451" s="55">
        <v>280</v>
      </c>
      <c r="E3451" s="55" t="s">
        <v>6176</v>
      </c>
      <c r="F3451" s="55" t="s">
        <v>210</v>
      </c>
      <c r="G3451" s="55" t="s">
        <v>383</v>
      </c>
      <c r="H3451" s="50" t="s">
        <v>6177</v>
      </c>
    </row>
    <row r="3452" spans="1:62" x14ac:dyDescent="0.2">
      <c r="C3452" s="195">
        <v>44804</v>
      </c>
      <c r="D3452" s="55">
        <v>280</v>
      </c>
      <c r="E3452" s="55" t="s">
        <v>6178</v>
      </c>
      <c r="F3452" s="55" t="s">
        <v>272</v>
      </c>
      <c r="G3452" s="55" t="s">
        <v>273</v>
      </c>
      <c r="H3452" s="50" t="s">
        <v>6179</v>
      </c>
    </row>
    <row r="3453" spans="1:62" x14ac:dyDescent="0.2">
      <c r="C3453" s="195">
        <v>44804</v>
      </c>
      <c r="D3453" s="55">
        <v>260</v>
      </c>
      <c r="E3453" s="55" t="s">
        <v>6180</v>
      </c>
      <c r="F3453" s="55" t="s">
        <v>267</v>
      </c>
      <c r="G3453" s="55" t="s">
        <v>268</v>
      </c>
      <c r="H3453" s="50" t="s">
        <v>6181</v>
      </c>
    </row>
    <row r="3454" spans="1:62" x14ac:dyDescent="0.2">
      <c r="C3454" s="195">
        <v>44797</v>
      </c>
      <c r="D3454" s="55">
        <v>260</v>
      </c>
      <c r="E3454" s="55" t="s">
        <v>6182</v>
      </c>
      <c r="F3454" s="55" t="s">
        <v>192</v>
      </c>
      <c r="G3454" s="55" t="s">
        <v>487</v>
      </c>
      <c r="H3454" s="50" t="s">
        <v>6183</v>
      </c>
    </row>
    <row r="3455" spans="1:62" x14ac:dyDescent="0.2">
      <c r="C3455" s="195">
        <v>44804</v>
      </c>
      <c r="D3455" s="55">
        <v>280</v>
      </c>
      <c r="E3455" s="55" t="s">
        <v>6184</v>
      </c>
      <c r="F3455" s="55" t="s">
        <v>390</v>
      </c>
      <c r="G3455" s="55" t="s">
        <v>590</v>
      </c>
      <c r="H3455" s="50" t="s">
        <v>6185</v>
      </c>
    </row>
    <row r="3456" spans="1:62" x14ac:dyDescent="0.2">
      <c r="A3456" s="57">
        <v>822</v>
      </c>
      <c r="B3456" t="s">
        <v>836</v>
      </c>
      <c r="C3456" s="195">
        <v>44784</v>
      </c>
      <c r="D3456" s="55">
        <v>260</v>
      </c>
      <c r="E3456" s="55" t="s">
        <v>6186</v>
      </c>
      <c r="F3456" s="55" t="s">
        <v>210</v>
      </c>
      <c r="G3456" s="55" t="s">
        <v>496</v>
      </c>
      <c r="H3456" s="50" t="s">
        <v>6187</v>
      </c>
      <c r="I3456" s="46" t="s">
        <v>839</v>
      </c>
      <c r="J3456" s="52">
        <v>1</v>
      </c>
      <c r="K3456" s="52">
        <v>1</v>
      </c>
      <c r="O3456" s="1">
        <v>1</v>
      </c>
      <c r="S3456" s="1">
        <v>1</v>
      </c>
      <c r="W3456" s="1">
        <v>1</v>
      </c>
      <c r="AA3456" s="1">
        <v>1</v>
      </c>
      <c r="AG3456">
        <v>1</v>
      </c>
      <c r="AM3456">
        <v>4</v>
      </c>
      <c r="AS3456">
        <v>4</v>
      </c>
      <c r="AT3456">
        <v>1</v>
      </c>
      <c r="AU3456">
        <v>1</v>
      </c>
      <c r="AZ3456">
        <v>1</v>
      </c>
      <c r="BA3456">
        <v>1</v>
      </c>
      <c r="BB3456">
        <v>1</v>
      </c>
      <c r="BC3456">
        <v>1</v>
      </c>
      <c r="BD3456">
        <v>1</v>
      </c>
      <c r="BE3456">
        <v>1</v>
      </c>
      <c r="BJ3456">
        <v>1</v>
      </c>
    </row>
    <row r="3457" spans="3:8" x14ac:dyDescent="0.2">
      <c r="C3457" s="195">
        <v>44792</v>
      </c>
      <c r="D3457" s="55">
        <v>260</v>
      </c>
      <c r="E3457" s="55" t="s">
        <v>6188</v>
      </c>
      <c r="F3457" s="55" t="s">
        <v>263</v>
      </c>
      <c r="G3457" s="55" t="s">
        <v>426</v>
      </c>
      <c r="H3457" s="50" t="s">
        <v>6189</v>
      </c>
    </row>
    <row r="3458" spans="3:8" x14ac:dyDescent="0.2">
      <c r="C3458" s="195">
        <v>44791</v>
      </c>
      <c r="D3458" s="55">
        <v>260</v>
      </c>
      <c r="E3458" s="55" t="s">
        <v>6190</v>
      </c>
      <c r="F3458" s="55" t="s">
        <v>196</v>
      </c>
      <c r="G3458" s="55" t="s">
        <v>645</v>
      </c>
      <c r="H3458" s="50" t="s">
        <v>6191</v>
      </c>
    </row>
    <row r="3459" spans="3:8" x14ac:dyDescent="0.2">
      <c r="C3459" s="195">
        <v>44782</v>
      </c>
      <c r="D3459" s="55">
        <v>280</v>
      </c>
      <c r="E3459" s="55" t="s">
        <v>6192</v>
      </c>
      <c r="F3459" s="55" t="s">
        <v>202</v>
      </c>
      <c r="G3459" s="55" t="s">
        <v>1146</v>
      </c>
      <c r="H3459" s="50" t="s">
        <v>6193</v>
      </c>
    </row>
    <row r="3460" spans="3:8" x14ac:dyDescent="0.2">
      <c r="C3460" s="195">
        <v>44797</v>
      </c>
      <c r="D3460" s="55">
        <v>260</v>
      </c>
      <c r="E3460" s="55" t="s">
        <v>6194</v>
      </c>
      <c r="F3460" s="55" t="s">
        <v>219</v>
      </c>
      <c r="G3460" s="55" t="s">
        <v>3710</v>
      </c>
      <c r="H3460" s="50" t="s">
        <v>6195</v>
      </c>
    </row>
    <row r="3461" spans="3:8" x14ac:dyDescent="0.2">
      <c r="C3461" s="195">
        <v>44792</v>
      </c>
      <c r="D3461" s="55">
        <v>260</v>
      </c>
      <c r="E3461" s="55" t="s">
        <v>6196</v>
      </c>
      <c r="F3461" s="55" t="s">
        <v>192</v>
      </c>
      <c r="G3461" s="55" t="s">
        <v>258</v>
      </c>
      <c r="H3461" s="50" t="s">
        <v>6197</v>
      </c>
    </row>
    <row r="3462" spans="3:8" x14ac:dyDescent="0.2">
      <c r="C3462" s="195">
        <v>44799</v>
      </c>
      <c r="D3462" s="55">
        <v>260</v>
      </c>
      <c r="E3462" s="55" t="s">
        <v>6198</v>
      </c>
      <c r="F3462" s="55" t="s">
        <v>272</v>
      </c>
      <c r="G3462" s="55" t="s">
        <v>683</v>
      </c>
      <c r="H3462" s="50" t="s">
        <v>6199</v>
      </c>
    </row>
    <row r="3463" spans="3:8" x14ac:dyDescent="0.2">
      <c r="C3463" s="195">
        <v>44788</v>
      </c>
      <c r="D3463" s="55">
        <v>280</v>
      </c>
      <c r="E3463" s="55" t="s">
        <v>6200</v>
      </c>
      <c r="F3463" s="55" t="s">
        <v>231</v>
      </c>
      <c r="G3463" s="55" t="s">
        <v>2088</v>
      </c>
      <c r="H3463" s="50" t="s">
        <v>6201</v>
      </c>
    </row>
    <row r="3464" spans="3:8" x14ac:dyDescent="0.2">
      <c r="C3464" s="195">
        <v>44792</v>
      </c>
      <c r="D3464" s="55">
        <v>280</v>
      </c>
      <c r="E3464" s="55" t="s">
        <v>6202</v>
      </c>
      <c r="F3464" s="55" t="s">
        <v>231</v>
      </c>
      <c r="G3464" s="55" t="s">
        <v>1098</v>
      </c>
      <c r="H3464" s="50" t="s">
        <v>6203</v>
      </c>
    </row>
    <row r="3465" spans="3:8" x14ac:dyDescent="0.2">
      <c r="C3465" s="195">
        <v>44783</v>
      </c>
      <c r="D3465" s="55">
        <v>280</v>
      </c>
      <c r="E3465" s="55" t="s">
        <v>6204</v>
      </c>
      <c r="F3465" s="55" t="s">
        <v>231</v>
      </c>
      <c r="G3465" s="55" t="s">
        <v>3096</v>
      </c>
      <c r="H3465" s="50" t="s">
        <v>6205</v>
      </c>
    </row>
    <row r="3466" spans="3:8" x14ac:dyDescent="0.2">
      <c r="C3466" s="195">
        <v>44803</v>
      </c>
      <c r="D3466" s="55">
        <v>280</v>
      </c>
      <c r="E3466" s="55" t="s">
        <v>6206</v>
      </c>
      <c r="F3466" s="55" t="s">
        <v>267</v>
      </c>
      <c r="G3466" s="55" t="s">
        <v>813</v>
      </c>
      <c r="H3466" s="50" t="s">
        <v>6207</v>
      </c>
    </row>
    <row r="3467" spans="3:8" x14ac:dyDescent="0.2">
      <c r="C3467" s="195">
        <v>44799</v>
      </c>
      <c r="D3467" s="55">
        <v>280</v>
      </c>
      <c r="E3467" s="55" t="s">
        <v>6208</v>
      </c>
      <c r="F3467" s="55" t="s">
        <v>263</v>
      </c>
      <c r="G3467" s="55" t="s">
        <v>3242</v>
      </c>
      <c r="H3467" s="50" t="s">
        <v>6209</v>
      </c>
    </row>
    <row r="3468" spans="3:8" x14ac:dyDescent="0.2">
      <c r="C3468" s="195">
        <v>44797</v>
      </c>
      <c r="D3468" s="55">
        <v>260</v>
      </c>
      <c r="E3468" s="55" t="s">
        <v>6210</v>
      </c>
      <c r="F3468" s="55" t="s">
        <v>210</v>
      </c>
      <c r="G3468" s="55" t="s">
        <v>383</v>
      </c>
    </row>
    <row r="3469" spans="3:8" x14ac:dyDescent="0.2">
      <c r="C3469" s="195">
        <v>44802</v>
      </c>
      <c r="D3469" s="55">
        <v>260</v>
      </c>
      <c r="E3469" s="55" t="s">
        <v>6211</v>
      </c>
      <c r="F3469" s="55" t="s">
        <v>231</v>
      </c>
      <c r="G3469" s="55" t="s">
        <v>421</v>
      </c>
      <c r="H3469" s="50" t="s">
        <v>6212</v>
      </c>
    </row>
    <row r="3470" spans="3:8" x14ac:dyDescent="0.2">
      <c r="C3470" s="195">
        <v>44789</v>
      </c>
      <c r="D3470" s="55">
        <v>260</v>
      </c>
      <c r="E3470" s="55" t="s">
        <v>6213</v>
      </c>
      <c r="F3470" s="55" t="s">
        <v>272</v>
      </c>
      <c r="G3470" s="55" t="s">
        <v>1914</v>
      </c>
      <c r="H3470" s="50" t="s">
        <v>224</v>
      </c>
    </row>
    <row r="3471" spans="3:8" x14ac:dyDescent="0.2">
      <c r="C3471" s="195">
        <v>44802</v>
      </c>
      <c r="D3471" s="55">
        <v>260</v>
      </c>
      <c r="E3471" s="55" t="s">
        <v>6214</v>
      </c>
      <c r="F3471" s="55" t="s">
        <v>206</v>
      </c>
      <c r="G3471" s="55" t="s">
        <v>676</v>
      </c>
      <c r="H3471" s="50" t="s">
        <v>6215</v>
      </c>
    </row>
    <row r="3472" spans="3:8" x14ac:dyDescent="0.2">
      <c r="C3472" s="195">
        <v>44796</v>
      </c>
      <c r="D3472" s="55">
        <v>280</v>
      </c>
      <c r="E3472" s="55" t="s">
        <v>6216</v>
      </c>
      <c r="F3472" s="55" t="s">
        <v>390</v>
      </c>
      <c r="G3472" s="55" t="s">
        <v>490</v>
      </c>
      <c r="H3472" s="50" t="s">
        <v>6217</v>
      </c>
    </row>
    <row r="3473" spans="1:9" x14ac:dyDescent="0.2">
      <c r="C3473" s="195">
        <v>44788</v>
      </c>
      <c r="D3473" s="55">
        <v>280</v>
      </c>
      <c r="E3473" s="55" t="s">
        <v>6218</v>
      </c>
      <c r="F3473" s="55" t="s">
        <v>263</v>
      </c>
      <c r="G3473" s="55" t="s">
        <v>413</v>
      </c>
      <c r="H3473" s="50" t="s">
        <v>6219</v>
      </c>
    </row>
    <row r="3474" spans="1:9" x14ac:dyDescent="0.2">
      <c r="C3474" s="195">
        <v>44804</v>
      </c>
      <c r="D3474" s="55">
        <v>260</v>
      </c>
      <c r="E3474" s="55" t="s">
        <v>6220</v>
      </c>
      <c r="F3474" s="55" t="s">
        <v>231</v>
      </c>
      <c r="G3474" s="55" t="s">
        <v>232</v>
      </c>
      <c r="H3474" s="50" t="s">
        <v>6221</v>
      </c>
    </row>
    <row r="3475" spans="1:9" x14ac:dyDescent="0.2">
      <c r="C3475" s="195">
        <v>44778</v>
      </c>
      <c r="D3475" s="55">
        <v>280</v>
      </c>
      <c r="E3475" s="55" t="s">
        <v>6222</v>
      </c>
      <c r="F3475" s="55" t="s">
        <v>202</v>
      </c>
      <c r="G3475" s="55" t="s">
        <v>302</v>
      </c>
      <c r="H3475" s="50" t="s">
        <v>6223</v>
      </c>
    </row>
    <row r="3476" spans="1:9" x14ac:dyDescent="0.2">
      <c r="C3476" s="195">
        <v>44802</v>
      </c>
      <c r="D3476" s="55">
        <v>260</v>
      </c>
      <c r="E3476" s="55" t="s">
        <v>6224</v>
      </c>
      <c r="F3476" s="55" t="s">
        <v>231</v>
      </c>
      <c r="G3476" s="55" t="s">
        <v>421</v>
      </c>
      <c r="H3476" s="50" t="s">
        <v>6225</v>
      </c>
    </row>
    <row r="3477" spans="1:9" x14ac:dyDescent="0.2">
      <c r="C3477" s="195">
        <v>44795</v>
      </c>
      <c r="D3477" s="55">
        <v>260</v>
      </c>
      <c r="E3477" s="55" t="s">
        <v>6226</v>
      </c>
      <c r="F3477" s="55" t="s">
        <v>390</v>
      </c>
      <c r="G3477" s="55" t="s">
        <v>2950</v>
      </c>
      <c r="H3477" s="50" t="s">
        <v>6227</v>
      </c>
    </row>
    <row r="3478" spans="1:9" x14ac:dyDescent="0.2">
      <c r="C3478" s="195">
        <v>44788</v>
      </c>
      <c r="D3478" s="55">
        <v>280</v>
      </c>
      <c r="E3478" s="55" t="s">
        <v>6228</v>
      </c>
      <c r="F3478" s="55" t="s">
        <v>196</v>
      </c>
      <c r="G3478" s="55" t="s">
        <v>361</v>
      </c>
      <c r="H3478" s="50" t="s">
        <v>6229</v>
      </c>
    </row>
    <row r="3479" spans="1:9" x14ac:dyDescent="0.2">
      <c r="A3479" s="57">
        <v>822</v>
      </c>
      <c r="B3479" t="s">
        <v>836</v>
      </c>
      <c r="C3479" s="195">
        <v>44774</v>
      </c>
      <c r="D3479" s="55">
        <v>280</v>
      </c>
      <c r="E3479" s="55" t="s">
        <v>6230</v>
      </c>
      <c r="F3479" s="55" t="s">
        <v>267</v>
      </c>
      <c r="G3479" s="55" t="s">
        <v>535</v>
      </c>
      <c r="H3479" s="50" t="s">
        <v>224</v>
      </c>
      <c r="I3479" s="46" t="s">
        <v>837</v>
      </c>
    </row>
    <row r="3480" spans="1:9" x14ac:dyDescent="0.2">
      <c r="C3480" s="195">
        <v>44782</v>
      </c>
      <c r="D3480" s="55">
        <v>280</v>
      </c>
      <c r="E3480" s="55" t="s">
        <v>6231</v>
      </c>
      <c r="F3480" s="55" t="s">
        <v>202</v>
      </c>
      <c r="G3480" s="55" t="s">
        <v>302</v>
      </c>
      <c r="H3480" s="50" t="s">
        <v>224</v>
      </c>
    </row>
    <row r="3481" spans="1:9" x14ac:dyDescent="0.2">
      <c r="C3481" s="195">
        <v>44797</v>
      </c>
      <c r="D3481" s="55">
        <v>260</v>
      </c>
      <c r="E3481" s="55" t="s">
        <v>6232</v>
      </c>
      <c r="F3481" s="55" t="s">
        <v>210</v>
      </c>
      <c r="G3481" s="55" t="s">
        <v>883</v>
      </c>
      <c r="H3481" s="50" t="s">
        <v>6233</v>
      </c>
    </row>
    <row r="3482" spans="1:9" x14ac:dyDescent="0.2">
      <c r="C3482" s="195">
        <v>44799</v>
      </c>
      <c r="D3482" s="55">
        <v>280</v>
      </c>
      <c r="E3482" s="55" t="s">
        <v>6234</v>
      </c>
      <c r="F3482" s="55" t="s">
        <v>196</v>
      </c>
      <c r="G3482" s="55" t="s">
        <v>464</v>
      </c>
      <c r="H3482" s="50" t="s">
        <v>6235</v>
      </c>
    </row>
    <row r="3483" spans="1:9" x14ac:dyDescent="0.2">
      <c r="C3483" s="195">
        <v>44795</v>
      </c>
      <c r="D3483" s="55">
        <v>280</v>
      </c>
      <c r="E3483" s="55" t="s">
        <v>6236</v>
      </c>
      <c r="F3483" s="55" t="s">
        <v>206</v>
      </c>
      <c r="G3483" s="55" t="s">
        <v>228</v>
      </c>
      <c r="H3483" s="50" t="s">
        <v>6237</v>
      </c>
    </row>
    <row r="3484" spans="1:9" x14ac:dyDescent="0.2">
      <c r="C3484" s="195">
        <v>44799</v>
      </c>
      <c r="D3484" s="55">
        <v>280</v>
      </c>
      <c r="E3484" s="55" t="s">
        <v>6238</v>
      </c>
      <c r="F3484" s="55" t="s">
        <v>196</v>
      </c>
      <c r="G3484" s="55" t="s">
        <v>361</v>
      </c>
      <c r="H3484" s="50" t="s">
        <v>224</v>
      </c>
    </row>
    <row r="3485" spans="1:9" x14ac:dyDescent="0.2">
      <c r="C3485" s="195">
        <v>44790</v>
      </c>
      <c r="D3485" s="55">
        <v>260</v>
      </c>
      <c r="E3485" s="55" t="s">
        <v>6239</v>
      </c>
      <c r="F3485" s="55" t="s">
        <v>219</v>
      </c>
      <c r="G3485" s="55" t="s">
        <v>451</v>
      </c>
      <c r="H3485" s="50" t="s">
        <v>6240</v>
      </c>
    </row>
    <row r="3486" spans="1:9" x14ac:dyDescent="0.2">
      <c r="C3486" s="195">
        <v>44796</v>
      </c>
      <c r="D3486" s="55">
        <v>280</v>
      </c>
      <c r="E3486" s="55" t="s">
        <v>6241</v>
      </c>
      <c r="F3486" s="55" t="s">
        <v>390</v>
      </c>
      <c r="G3486" s="55" t="s">
        <v>590</v>
      </c>
      <c r="H3486" s="50" t="s">
        <v>6242</v>
      </c>
    </row>
    <row r="3487" spans="1:9" x14ac:dyDescent="0.2">
      <c r="C3487" s="195">
        <v>44803</v>
      </c>
      <c r="D3487" s="55">
        <v>280</v>
      </c>
      <c r="E3487" s="55" t="s">
        <v>6243</v>
      </c>
      <c r="F3487" s="55" t="s">
        <v>267</v>
      </c>
      <c r="G3487" s="55" t="s">
        <v>4098</v>
      </c>
      <c r="H3487" s="50" t="s">
        <v>6244</v>
      </c>
    </row>
    <row r="3488" spans="1:9" x14ac:dyDescent="0.2">
      <c r="C3488" s="195">
        <v>44802</v>
      </c>
      <c r="D3488" s="55">
        <v>280</v>
      </c>
      <c r="E3488" s="55" t="s">
        <v>6245</v>
      </c>
      <c r="F3488" s="55" t="s">
        <v>390</v>
      </c>
      <c r="G3488" s="55" t="s">
        <v>490</v>
      </c>
      <c r="H3488" s="50" t="s">
        <v>6246</v>
      </c>
    </row>
    <row r="3489" spans="3:8" x14ac:dyDescent="0.2">
      <c r="C3489" s="195">
        <v>44783</v>
      </c>
      <c r="D3489" s="55">
        <v>260</v>
      </c>
      <c r="E3489" s="55" t="s">
        <v>6247</v>
      </c>
      <c r="F3489" s="55" t="s">
        <v>196</v>
      </c>
      <c r="G3489" s="55" t="s">
        <v>349</v>
      </c>
      <c r="H3489" s="50" t="s">
        <v>6248</v>
      </c>
    </row>
    <row r="3490" spans="3:8" x14ac:dyDescent="0.2">
      <c r="C3490" s="195">
        <v>44791</v>
      </c>
      <c r="D3490" s="55">
        <v>280</v>
      </c>
      <c r="E3490" s="55" t="s">
        <v>6249</v>
      </c>
      <c r="F3490" s="55" t="s">
        <v>263</v>
      </c>
      <c r="G3490" s="55" t="s">
        <v>413</v>
      </c>
      <c r="H3490" s="50" t="s">
        <v>6250</v>
      </c>
    </row>
    <row r="3491" spans="3:8" x14ac:dyDescent="0.2">
      <c r="C3491" s="195">
        <v>44795</v>
      </c>
      <c r="D3491" s="55">
        <v>280</v>
      </c>
      <c r="E3491" s="55" t="s">
        <v>6251</v>
      </c>
      <c r="F3491" s="55" t="s">
        <v>263</v>
      </c>
      <c r="G3491" s="55" t="s">
        <v>506</v>
      </c>
      <c r="H3491" s="50" t="s">
        <v>6252</v>
      </c>
    </row>
    <row r="3492" spans="3:8" x14ac:dyDescent="0.2">
      <c r="C3492" s="195">
        <v>44804</v>
      </c>
      <c r="D3492" s="55">
        <v>280</v>
      </c>
      <c r="E3492" s="55" t="s">
        <v>6253</v>
      </c>
      <c r="F3492" s="55" t="s">
        <v>219</v>
      </c>
      <c r="G3492" s="55" t="s">
        <v>249</v>
      </c>
      <c r="H3492" s="50" t="s">
        <v>6254</v>
      </c>
    </row>
    <row r="3493" spans="3:8" x14ac:dyDescent="0.2">
      <c r="C3493" s="195">
        <v>44782</v>
      </c>
      <c r="D3493" s="55">
        <v>280</v>
      </c>
      <c r="E3493" s="55" t="s">
        <v>6255</v>
      </c>
      <c r="F3493" s="55" t="s">
        <v>263</v>
      </c>
      <c r="G3493" s="55" t="s">
        <v>264</v>
      </c>
      <c r="H3493" s="50" t="s">
        <v>6256</v>
      </c>
    </row>
    <row r="3494" spans="3:8" x14ac:dyDescent="0.2">
      <c r="C3494" s="195">
        <v>44799</v>
      </c>
      <c r="D3494" s="55">
        <v>280</v>
      </c>
      <c r="E3494" s="55" t="s">
        <v>6257</v>
      </c>
      <c r="F3494" s="55" t="s">
        <v>263</v>
      </c>
      <c r="G3494" s="55" t="s">
        <v>1005</v>
      </c>
      <c r="H3494" s="50" t="s">
        <v>6258</v>
      </c>
    </row>
    <row r="3495" spans="3:8" x14ac:dyDescent="0.2">
      <c r="C3495" s="195">
        <v>44791</v>
      </c>
      <c r="D3495" s="55">
        <v>280</v>
      </c>
      <c r="E3495" s="55" t="s">
        <v>6259</v>
      </c>
      <c r="F3495" s="55" t="s">
        <v>196</v>
      </c>
      <c r="G3495" s="55" t="s">
        <v>415</v>
      </c>
      <c r="H3495" s="50" t="s">
        <v>6260</v>
      </c>
    </row>
    <row r="3496" spans="3:8" x14ac:dyDescent="0.2">
      <c r="C3496" s="195">
        <v>44777</v>
      </c>
      <c r="D3496" s="55">
        <v>280</v>
      </c>
      <c r="E3496" s="55" t="s">
        <v>6261</v>
      </c>
      <c r="F3496" s="55" t="s">
        <v>267</v>
      </c>
      <c r="G3496" s="55" t="s">
        <v>535</v>
      </c>
      <c r="H3496" s="50" t="s">
        <v>224</v>
      </c>
    </row>
    <row r="3497" spans="3:8" x14ac:dyDescent="0.2">
      <c r="C3497" s="195">
        <v>44778</v>
      </c>
      <c r="D3497" s="55">
        <v>260</v>
      </c>
      <c r="E3497" s="55" t="s">
        <v>6262</v>
      </c>
      <c r="F3497" s="55" t="s">
        <v>291</v>
      </c>
      <c r="G3497" s="55" t="s">
        <v>480</v>
      </c>
      <c r="H3497" s="50" t="s">
        <v>6263</v>
      </c>
    </row>
    <row r="3498" spans="3:8" x14ac:dyDescent="0.2">
      <c r="C3498" s="195">
        <v>44803</v>
      </c>
      <c r="D3498" s="55">
        <v>280</v>
      </c>
      <c r="E3498" s="55" t="s">
        <v>6264</v>
      </c>
      <c r="F3498" s="55" t="s">
        <v>196</v>
      </c>
      <c r="G3498" s="55" t="s">
        <v>415</v>
      </c>
      <c r="H3498" s="50" t="s">
        <v>6265</v>
      </c>
    </row>
    <row r="3499" spans="3:8" x14ac:dyDescent="0.2">
      <c r="C3499" s="195">
        <v>44795</v>
      </c>
      <c r="D3499" s="55">
        <v>280</v>
      </c>
      <c r="E3499" s="55" t="s">
        <v>6266</v>
      </c>
      <c r="F3499" s="55" t="s">
        <v>231</v>
      </c>
      <c r="G3499" s="55" t="s">
        <v>3096</v>
      </c>
      <c r="H3499" s="50" t="s">
        <v>6267</v>
      </c>
    </row>
    <row r="3500" spans="3:8" x14ac:dyDescent="0.2">
      <c r="C3500" s="195">
        <v>44799</v>
      </c>
      <c r="D3500" s="55">
        <v>260</v>
      </c>
      <c r="E3500" s="55" t="s">
        <v>6268</v>
      </c>
      <c r="F3500" s="55" t="s">
        <v>210</v>
      </c>
      <c r="G3500" s="55" t="s">
        <v>211</v>
      </c>
      <c r="H3500" s="50" t="s">
        <v>6269</v>
      </c>
    </row>
    <row r="3501" spans="3:8" x14ac:dyDescent="0.2">
      <c r="C3501" s="195">
        <v>44796</v>
      </c>
      <c r="D3501" s="55">
        <v>260</v>
      </c>
      <c r="E3501" s="55" t="s">
        <v>6270</v>
      </c>
      <c r="F3501" s="55" t="s">
        <v>192</v>
      </c>
      <c r="G3501" s="55" t="s">
        <v>324</v>
      </c>
      <c r="H3501" s="50" t="s">
        <v>6271</v>
      </c>
    </row>
    <row r="3502" spans="3:8" x14ac:dyDescent="0.2">
      <c r="C3502" s="195">
        <v>44783</v>
      </c>
      <c r="D3502" s="55">
        <v>260</v>
      </c>
      <c r="E3502" s="55" t="s">
        <v>6272</v>
      </c>
      <c r="F3502" s="55" t="s">
        <v>206</v>
      </c>
      <c r="G3502" s="55" t="s">
        <v>228</v>
      </c>
      <c r="H3502" s="50" t="s">
        <v>6273</v>
      </c>
    </row>
    <row r="3503" spans="3:8" x14ac:dyDescent="0.2">
      <c r="C3503" s="195">
        <v>44803</v>
      </c>
      <c r="D3503" s="55">
        <v>260</v>
      </c>
      <c r="E3503" s="55" t="s">
        <v>6274</v>
      </c>
      <c r="F3503" s="55" t="s">
        <v>202</v>
      </c>
      <c r="G3503" s="55" t="s">
        <v>321</v>
      </c>
      <c r="H3503" s="50" t="s">
        <v>6275</v>
      </c>
    </row>
    <row r="3504" spans="3:8" x14ac:dyDescent="0.2">
      <c r="C3504" s="195">
        <v>44790</v>
      </c>
      <c r="D3504" s="55">
        <v>260</v>
      </c>
      <c r="E3504" s="55" t="s">
        <v>6276</v>
      </c>
      <c r="F3504" s="55" t="s">
        <v>219</v>
      </c>
      <c r="G3504" s="55" t="s">
        <v>451</v>
      </c>
      <c r="H3504" s="50" t="s">
        <v>6277</v>
      </c>
    </row>
    <row r="3505" spans="3:8" x14ac:dyDescent="0.2">
      <c r="C3505" s="195">
        <v>44789</v>
      </c>
      <c r="D3505" s="55">
        <v>280</v>
      </c>
      <c r="E3505" s="55" t="s">
        <v>6278</v>
      </c>
      <c r="F3505" s="55" t="s">
        <v>210</v>
      </c>
      <c r="G3505" s="55" t="s">
        <v>496</v>
      </c>
      <c r="H3505" s="50" t="s">
        <v>6279</v>
      </c>
    </row>
    <row r="3506" spans="3:8" x14ac:dyDescent="0.2">
      <c r="C3506" s="195">
        <v>44783</v>
      </c>
      <c r="D3506" s="55">
        <v>260</v>
      </c>
      <c r="E3506" s="55" t="s">
        <v>6280</v>
      </c>
      <c r="F3506" s="55" t="s">
        <v>267</v>
      </c>
      <c r="G3506" s="55" t="s">
        <v>442</v>
      </c>
      <c r="H3506" s="50" t="s">
        <v>6281</v>
      </c>
    </row>
    <row r="3507" spans="3:8" x14ac:dyDescent="0.2">
      <c r="C3507" s="195">
        <v>44803</v>
      </c>
      <c r="D3507" s="55">
        <v>260</v>
      </c>
      <c r="E3507" s="55" t="s">
        <v>6282</v>
      </c>
      <c r="F3507" s="55" t="s">
        <v>196</v>
      </c>
      <c r="G3507" s="55" t="s">
        <v>415</v>
      </c>
      <c r="H3507" s="50" t="s">
        <v>6283</v>
      </c>
    </row>
    <row r="3508" spans="3:8" x14ac:dyDescent="0.2">
      <c r="C3508" s="195">
        <v>44790</v>
      </c>
      <c r="D3508" s="55">
        <v>260</v>
      </c>
      <c r="E3508" s="55" t="s">
        <v>6284</v>
      </c>
      <c r="F3508" s="55" t="s">
        <v>390</v>
      </c>
      <c r="G3508" s="55" t="s">
        <v>671</v>
      </c>
      <c r="H3508" s="50" t="s">
        <v>6285</v>
      </c>
    </row>
    <row r="3509" spans="3:8" x14ac:dyDescent="0.2">
      <c r="C3509" s="195">
        <v>44782</v>
      </c>
      <c r="D3509" s="55">
        <v>280</v>
      </c>
      <c r="E3509" s="55" t="s">
        <v>6286</v>
      </c>
      <c r="F3509" s="55" t="s">
        <v>196</v>
      </c>
      <c r="G3509" s="55" t="s">
        <v>197</v>
      </c>
      <c r="H3509" s="50" t="s">
        <v>6287</v>
      </c>
    </row>
    <row r="3510" spans="3:8" x14ac:dyDescent="0.2">
      <c r="C3510" s="195">
        <v>44775</v>
      </c>
      <c r="D3510" s="55">
        <v>260</v>
      </c>
      <c r="E3510" s="55" t="s">
        <v>6288</v>
      </c>
      <c r="F3510" s="55" t="s">
        <v>210</v>
      </c>
      <c r="G3510" s="55" t="s">
        <v>1572</v>
      </c>
      <c r="H3510" s="50" t="s">
        <v>6289</v>
      </c>
    </row>
    <row r="3511" spans="3:8" x14ac:dyDescent="0.2">
      <c r="C3511" s="195">
        <v>44802</v>
      </c>
      <c r="D3511" s="55">
        <v>260</v>
      </c>
      <c r="E3511" s="55" t="s">
        <v>6290</v>
      </c>
      <c r="F3511" s="55" t="s">
        <v>192</v>
      </c>
      <c r="G3511" s="55" t="s">
        <v>487</v>
      </c>
      <c r="H3511" s="50" t="s">
        <v>224</v>
      </c>
    </row>
    <row r="3512" spans="3:8" x14ac:dyDescent="0.2">
      <c r="C3512" s="195">
        <v>44803</v>
      </c>
      <c r="D3512" s="55">
        <v>280</v>
      </c>
      <c r="E3512" s="55" t="s">
        <v>6291</v>
      </c>
      <c r="F3512" s="55" t="s">
        <v>390</v>
      </c>
      <c r="G3512" s="55" t="s">
        <v>922</v>
      </c>
      <c r="H3512" s="50" t="s">
        <v>6292</v>
      </c>
    </row>
    <row r="3513" spans="3:8" x14ac:dyDescent="0.2">
      <c r="C3513" s="195">
        <v>44795</v>
      </c>
      <c r="D3513" s="55">
        <v>260</v>
      </c>
      <c r="E3513" s="55" t="s">
        <v>6293</v>
      </c>
      <c r="F3513" s="55" t="s">
        <v>390</v>
      </c>
      <c r="G3513" s="55" t="s">
        <v>391</v>
      </c>
      <c r="H3513" s="50" t="s">
        <v>6294</v>
      </c>
    </row>
    <row r="3514" spans="3:8" x14ac:dyDescent="0.2">
      <c r="C3514" s="195">
        <v>44784</v>
      </c>
      <c r="D3514" s="55">
        <v>260</v>
      </c>
      <c r="E3514" s="55" t="s">
        <v>6295</v>
      </c>
      <c r="F3514" s="55" t="s">
        <v>244</v>
      </c>
      <c r="G3514" s="55" t="s">
        <v>393</v>
      </c>
      <c r="H3514" s="50" t="s">
        <v>6296</v>
      </c>
    </row>
    <row r="3515" spans="3:8" x14ac:dyDescent="0.2">
      <c r="C3515" s="195">
        <v>44796</v>
      </c>
      <c r="D3515" s="55">
        <v>280</v>
      </c>
      <c r="E3515" s="55" t="s">
        <v>6297</v>
      </c>
      <c r="F3515" s="55" t="s">
        <v>231</v>
      </c>
      <c r="G3515" s="55" t="s">
        <v>648</v>
      </c>
      <c r="H3515" s="50" t="s">
        <v>6298</v>
      </c>
    </row>
    <row r="3516" spans="3:8" x14ac:dyDescent="0.2">
      <c r="C3516" s="195">
        <v>44791</v>
      </c>
      <c r="D3516" s="55">
        <v>260</v>
      </c>
      <c r="E3516" s="55" t="s">
        <v>6299</v>
      </c>
      <c r="F3516" s="55" t="s">
        <v>196</v>
      </c>
      <c r="G3516" s="55" t="s">
        <v>349</v>
      </c>
      <c r="H3516" s="50" t="s">
        <v>6300</v>
      </c>
    </row>
    <row r="3517" spans="3:8" x14ac:dyDescent="0.2">
      <c r="C3517" s="195">
        <v>44789</v>
      </c>
      <c r="D3517" s="55">
        <v>260</v>
      </c>
      <c r="E3517" s="55" t="s">
        <v>6301</v>
      </c>
      <c r="F3517" s="55" t="s">
        <v>192</v>
      </c>
      <c r="G3517" s="55" t="s">
        <v>453</v>
      </c>
      <c r="H3517" s="50" t="s">
        <v>6302</v>
      </c>
    </row>
    <row r="3518" spans="3:8" x14ac:dyDescent="0.2">
      <c r="C3518" s="195">
        <v>44782</v>
      </c>
      <c r="D3518" s="55">
        <v>280</v>
      </c>
      <c r="E3518" s="55" t="s">
        <v>6303</v>
      </c>
      <c r="F3518" s="55" t="s">
        <v>291</v>
      </c>
      <c r="G3518" s="55" t="s">
        <v>607</v>
      </c>
      <c r="H3518" s="50" t="s">
        <v>6304</v>
      </c>
    </row>
    <row r="3519" spans="3:8" x14ac:dyDescent="0.2">
      <c r="C3519" s="195">
        <v>44774</v>
      </c>
      <c r="D3519" s="55">
        <v>280</v>
      </c>
      <c r="E3519" s="55" t="s">
        <v>6305</v>
      </c>
      <c r="F3519" s="55" t="s">
        <v>196</v>
      </c>
      <c r="G3519" s="55" t="s">
        <v>197</v>
      </c>
      <c r="H3519" s="50" t="s">
        <v>6306</v>
      </c>
    </row>
    <row r="3520" spans="3:8" x14ac:dyDescent="0.2">
      <c r="C3520" s="195">
        <v>44796</v>
      </c>
      <c r="D3520" s="55">
        <v>260</v>
      </c>
      <c r="E3520" s="55" t="s">
        <v>6307</v>
      </c>
      <c r="F3520" s="55" t="s">
        <v>263</v>
      </c>
      <c r="G3520" s="55" t="s">
        <v>633</v>
      </c>
      <c r="H3520" s="50" t="s">
        <v>6308</v>
      </c>
    </row>
    <row r="3521" spans="1:62" x14ac:dyDescent="0.2">
      <c r="C3521" s="195">
        <v>44783</v>
      </c>
      <c r="D3521" s="55">
        <v>260</v>
      </c>
      <c r="E3521" s="55" t="s">
        <v>6309</v>
      </c>
      <c r="F3521" s="55" t="s">
        <v>390</v>
      </c>
      <c r="G3521" s="55" t="s">
        <v>408</v>
      </c>
      <c r="H3521" s="50" t="s">
        <v>6310</v>
      </c>
    </row>
    <row r="3522" spans="1:62" x14ac:dyDescent="0.2">
      <c r="C3522" s="195">
        <v>44795</v>
      </c>
      <c r="D3522" s="55">
        <v>260</v>
      </c>
      <c r="E3522" s="55" t="s">
        <v>6311</v>
      </c>
      <c r="F3522" s="55" t="s">
        <v>390</v>
      </c>
      <c r="G3522" s="55" t="s">
        <v>391</v>
      </c>
      <c r="H3522" s="50" t="s">
        <v>6312</v>
      </c>
    </row>
    <row r="3523" spans="1:62" x14ac:dyDescent="0.2">
      <c r="C3523" s="195">
        <v>44797</v>
      </c>
      <c r="D3523" s="55">
        <v>260</v>
      </c>
      <c r="E3523" s="55" t="s">
        <v>6313</v>
      </c>
      <c r="F3523" s="55" t="s">
        <v>219</v>
      </c>
      <c r="G3523" s="55" t="s">
        <v>220</v>
      </c>
      <c r="H3523" s="50" t="s">
        <v>6314</v>
      </c>
    </row>
    <row r="3524" spans="1:62" x14ac:dyDescent="0.2">
      <c r="C3524" s="195">
        <v>44790</v>
      </c>
      <c r="D3524" s="55">
        <v>260</v>
      </c>
      <c r="E3524" s="55" t="s">
        <v>6315</v>
      </c>
      <c r="F3524" s="55" t="s">
        <v>390</v>
      </c>
      <c r="G3524" s="55" t="s">
        <v>408</v>
      </c>
      <c r="H3524" s="50" t="s">
        <v>6316</v>
      </c>
    </row>
    <row r="3525" spans="1:62" x14ac:dyDescent="0.2">
      <c r="C3525" s="195">
        <v>44804</v>
      </c>
      <c r="D3525" s="55">
        <v>260</v>
      </c>
      <c r="E3525" s="55" t="s">
        <v>6317</v>
      </c>
      <c r="F3525" s="55" t="s">
        <v>272</v>
      </c>
      <c r="G3525" s="55" t="s">
        <v>273</v>
      </c>
      <c r="H3525" s="50" t="s">
        <v>6318</v>
      </c>
    </row>
    <row r="3526" spans="1:62" x14ac:dyDescent="0.2">
      <c r="C3526" s="195">
        <v>44797</v>
      </c>
      <c r="D3526" s="55">
        <v>280</v>
      </c>
      <c r="E3526" s="55" t="s">
        <v>6319</v>
      </c>
      <c r="F3526" s="55" t="s">
        <v>263</v>
      </c>
      <c r="G3526" s="55" t="s">
        <v>995</v>
      </c>
      <c r="H3526" s="50" t="s">
        <v>6320</v>
      </c>
    </row>
    <row r="3527" spans="1:62" x14ac:dyDescent="0.2">
      <c r="C3527" s="195">
        <v>44795</v>
      </c>
      <c r="D3527" s="55">
        <v>280</v>
      </c>
      <c r="E3527" s="55" t="s">
        <v>6321</v>
      </c>
      <c r="F3527" s="55" t="s">
        <v>231</v>
      </c>
      <c r="G3527" s="55" t="s">
        <v>3965</v>
      </c>
      <c r="H3527" s="50" t="s">
        <v>6322</v>
      </c>
    </row>
    <row r="3528" spans="1:62" x14ac:dyDescent="0.2">
      <c r="C3528" s="195">
        <v>44775</v>
      </c>
      <c r="D3528" s="55">
        <v>260</v>
      </c>
      <c r="E3528" s="55" t="s">
        <v>6323</v>
      </c>
      <c r="F3528" s="55" t="s">
        <v>210</v>
      </c>
      <c r="G3528" s="55" t="s">
        <v>306</v>
      </c>
      <c r="H3528" s="50" t="s">
        <v>6324</v>
      </c>
    </row>
    <row r="3529" spans="1:62" x14ac:dyDescent="0.2">
      <c r="C3529" s="195">
        <v>44797</v>
      </c>
      <c r="D3529" s="55">
        <v>280</v>
      </c>
      <c r="E3529" s="55" t="s">
        <v>6325</v>
      </c>
      <c r="F3529" s="55" t="s">
        <v>263</v>
      </c>
      <c r="G3529" s="55" t="s">
        <v>413</v>
      </c>
      <c r="H3529" s="50" t="s">
        <v>6326</v>
      </c>
    </row>
    <row r="3530" spans="1:62" x14ac:dyDescent="0.2">
      <c r="C3530" s="195">
        <v>44799</v>
      </c>
      <c r="D3530" s="55">
        <v>280</v>
      </c>
      <c r="E3530" s="55" t="s">
        <v>6327</v>
      </c>
      <c r="F3530" s="55" t="s">
        <v>196</v>
      </c>
      <c r="G3530" s="55" t="s">
        <v>5446</v>
      </c>
      <c r="H3530" s="50" t="s">
        <v>6328</v>
      </c>
    </row>
    <row r="3531" spans="1:62" x14ac:dyDescent="0.2">
      <c r="C3531" s="195">
        <v>44783</v>
      </c>
      <c r="D3531" s="55">
        <v>280</v>
      </c>
      <c r="E3531" s="55" t="s">
        <v>6329</v>
      </c>
      <c r="F3531" s="55" t="s">
        <v>231</v>
      </c>
      <c r="G3531" s="55" t="s">
        <v>1098</v>
      </c>
      <c r="H3531" s="50" t="s">
        <v>6330</v>
      </c>
    </row>
    <row r="3532" spans="1:62" x14ac:dyDescent="0.2">
      <c r="C3532" s="195">
        <v>44791</v>
      </c>
      <c r="D3532" s="55">
        <v>260</v>
      </c>
      <c r="E3532" s="55" t="s">
        <v>6331</v>
      </c>
      <c r="F3532" s="55" t="s">
        <v>192</v>
      </c>
      <c r="G3532" s="55" t="s">
        <v>640</v>
      </c>
    </row>
    <row r="3533" spans="1:62" x14ac:dyDescent="0.2">
      <c r="C3533" s="195">
        <v>44802</v>
      </c>
      <c r="D3533" s="55">
        <v>280</v>
      </c>
      <c r="E3533" s="55" t="s">
        <v>6332</v>
      </c>
      <c r="F3533" s="55" t="s">
        <v>231</v>
      </c>
      <c r="G3533" s="55" t="s">
        <v>435</v>
      </c>
      <c r="H3533" s="50" t="s">
        <v>6333</v>
      </c>
    </row>
    <row r="3534" spans="1:62" x14ac:dyDescent="0.2">
      <c r="C3534" s="195">
        <v>44781</v>
      </c>
      <c r="D3534" s="55">
        <v>280</v>
      </c>
      <c r="E3534" s="55" t="s">
        <v>6334</v>
      </c>
      <c r="F3534" s="55" t="s">
        <v>192</v>
      </c>
      <c r="G3534" s="55" t="s">
        <v>640</v>
      </c>
    </row>
    <row r="3535" spans="1:62" x14ac:dyDescent="0.2">
      <c r="A3535" s="57">
        <v>822</v>
      </c>
      <c r="B3535" t="s">
        <v>836</v>
      </c>
      <c r="C3535" s="195">
        <v>44778</v>
      </c>
      <c r="D3535" s="55">
        <v>260</v>
      </c>
      <c r="E3535" s="55" t="s">
        <v>6335</v>
      </c>
      <c r="F3535" s="55" t="s">
        <v>263</v>
      </c>
      <c r="G3535" s="55" t="s">
        <v>1113</v>
      </c>
      <c r="H3535" s="50" t="s">
        <v>224</v>
      </c>
      <c r="I3535" s="46" t="s">
        <v>839</v>
      </c>
      <c r="J3535" s="52">
        <v>1</v>
      </c>
      <c r="K3535" s="52">
        <v>1</v>
      </c>
      <c r="O3535" s="1">
        <v>1</v>
      </c>
      <c r="S3535" s="1">
        <v>5</v>
      </c>
      <c r="W3535" s="1">
        <v>5</v>
      </c>
      <c r="AA3535" s="1">
        <v>5</v>
      </c>
      <c r="AG3535">
        <v>5</v>
      </c>
      <c r="AM3535">
        <v>1</v>
      </c>
      <c r="AN3535">
        <v>3</v>
      </c>
      <c r="AO3535">
        <v>1</v>
      </c>
      <c r="AP3535">
        <v>1</v>
      </c>
      <c r="AQ3535">
        <v>2</v>
      </c>
      <c r="AR3535">
        <v>4</v>
      </c>
      <c r="AS3535">
        <v>3</v>
      </c>
      <c r="AT3535">
        <v>3</v>
      </c>
      <c r="AU3535">
        <v>2</v>
      </c>
      <c r="AZ3535">
        <v>5</v>
      </c>
      <c r="BA3535">
        <v>4</v>
      </c>
      <c r="BB3535">
        <v>4</v>
      </c>
      <c r="BC3535">
        <v>4</v>
      </c>
      <c r="BD3535">
        <v>4</v>
      </c>
      <c r="BE3535">
        <v>1</v>
      </c>
      <c r="BJ3535">
        <v>5</v>
      </c>
    </row>
    <row r="3536" spans="1:62" x14ac:dyDescent="0.2">
      <c r="C3536" s="195">
        <v>44795</v>
      </c>
      <c r="D3536" s="55">
        <v>260</v>
      </c>
      <c r="E3536" s="55" t="s">
        <v>6336</v>
      </c>
      <c r="F3536" s="55" t="s">
        <v>231</v>
      </c>
      <c r="G3536" s="55" t="s">
        <v>648</v>
      </c>
      <c r="H3536" s="50" t="s">
        <v>6337</v>
      </c>
    </row>
    <row r="3537" spans="3:8" x14ac:dyDescent="0.2">
      <c r="C3537" s="195">
        <v>44782</v>
      </c>
      <c r="D3537" s="55">
        <v>260</v>
      </c>
      <c r="E3537" s="55" t="s">
        <v>6338</v>
      </c>
      <c r="F3537" s="55" t="s">
        <v>390</v>
      </c>
      <c r="G3537" s="55" t="s">
        <v>408</v>
      </c>
      <c r="H3537" s="50" t="s">
        <v>6339</v>
      </c>
    </row>
    <row r="3538" spans="3:8" x14ac:dyDescent="0.2">
      <c r="C3538" s="195">
        <v>44789</v>
      </c>
      <c r="D3538" s="55">
        <v>260</v>
      </c>
      <c r="E3538" s="55" t="s">
        <v>6340</v>
      </c>
      <c r="F3538" s="55" t="s">
        <v>192</v>
      </c>
      <c r="G3538" s="55" t="s">
        <v>453</v>
      </c>
      <c r="H3538" s="50" t="s">
        <v>6341</v>
      </c>
    </row>
    <row r="3539" spans="3:8" x14ac:dyDescent="0.2">
      <c r="C3539" s="195">
        <v>44797</v>
      </c>
      <c r="D3539" s="55">
        <v>260</v>
      </c>
      <c r="E3539" s="55" t="s">
        <v>6342</v>
      </c>
      <c r="F3539" s="55" t="s">
        <v>219</v>
      </c>
      <c r="G3539" s="55" t="s">
        <v>451</v>
      </c>
      <c r="H3539" s="50" t="s">
        <v>6343</v>
      </c>
    </row>
    <row r="3540" spans="3:8" x14ac:dyDescent="0.2">
      <c r="C3540" s="195">
        <v>44781</v>
      </c>
      <c r="D3540" s="55">
        <v>280</v>
      </c>
      <c r="E3540" s="55" t="s">
        <v>6344</v>
      </c>
      <c r="F3540" s="55" t="s">
        <v>192</v>
      </c>
      <c r="G3540" s="55" t="s">
        <v>640</v>
      </c>
      <c r="H3540" s="50" t="s">
        <v>6345</v>
      </c>
    </row>
    <row r="3541" spans="3:8" x14ac:dyDescent="0.2">
      <c r="C3541" s="195">
        <v>44802</v>
      </c>
      <c r="D3541" s="55">
        <v>280</v>
      </c>
      <c r="E3541" s="55" t="s">
        <v>6346</v>
      </c>
      <c r="F3541" s="55" t="s">
        <v>390</v>
      </c>
      <c r="G3541" s="55" t="s">
        <v>391</v>
      </c>
      <c r="H3541" s="50" t="s">
        <v>6347</v>
      </c>
    </row>
    <row r="3542" spans="3:8" x14ac:dyDescent="0.2">
      <c r="C3542" s="195">
        <v>44802</v>
      </c>
      <c r="D3542" s="55">
        <v>260</v>
      </c>
      <c r="E3542" s="55" t="s">
        <v>6348</v>
      </c>
      <c r="F3542" s="55" t="s">
        <v>231</v>
      </c>
      <c r="G3542" s="55" t="s">
        <v>4012</v>
      </c>
      <c r="H3542" s="50" t="s">
        <v>6349</v>
      </c>
    </row>
    <row r="3543" spans="3:8" x14ac:dyDescent="0.2">
      <c r="C3543" s="195">
        <v>44798</v>
      </c>
      <c r="D3543" s="55">
        <v>280</v>
      </c>
      <c r="E3543" s="55" t="s">
        <v>6350</v>
      </c>
      <c r="F3543" s="55" t="s">
        <v>231</v>
      </c>
      <c r="G3543" s="55" t="s">
        <v>371</v>
      </c>
      <c r="H3543" s="50" t="s">
        <v>6351</v>
      </c>
    </row>
    <row r="3544" spans="3:8" x14ac:dyDescent="0.2">
      <c r="C3544" s="195">
        <v>44781</v>
      </c>
      <c r="D3544" s="55">
        <v>280</v>
      </c>
      <c r="E3544" s="55" t="s">
        <v>6352</v>
      </c>
      <c r="F3544" s="55" t="s">
        <v>192</v>
      </c>
      <c r="G3544" s="55" t="s">
        <v>640</v>
      </c>
      <c r="H3544" s="50" t="s">
        <v>224</v>
      </c>
    </row>
    <row r="3545" spans="3:8" x14ac:dyDescent="0.2">
      <c r="C3545" s="195">
        <v>44778</v>
      </c>
      <c r="D3545" s="55">
        <v>280</v>
      </c>
      <c r="E3545" s="55" t="s">
        <v>6353</v>
      </c>
      <c r="F3545" s="55" t="s">
        <v>263</v>
      </c>
      <c r="G3545" s="55" t="s">
        <v>579</v>
      </c>
      <c r="H3545" s="50" t="s">
        <v>224</v>
      </c>
    </row>
    <row r="3546" spans="3:8" x14ac:dyDescent="0.2">
      <c r="C3546" s="195">
        <v>44795</v>
      </c>
      <c r="D3546" s="55">
        <v>260</v>
      </c>
      <c r="E3546" s="55" t="s">
        <v>6354</v>
      </c>
      <c r="F3546" s="55" t="s">
        <v>192</v>
      </c>
      <c r="G3546" s="55" t="s">
        <v>563</v>
      </c>
      <c r="H3546" s="50" t="s">
        <v>224</v>
      </c>
    </row>
    <row r="3547" spans="3:8" x14ac:dyDescent="0.2">
      <c r="C3547" s="195">
        <v>44804</v>
      </c>
      <c r="D3547" s="55">
        <v>280</v>
      </c>
      <c r="E3547" s="55" t="s">
        <v>6355</v>
      </c>
      <c r="F3547" s="55" t="s">
        <v>263</v>
      </c>
      <c r="G3547" s="55" t="s">
        <v>264</v>
      </c>
      <c r="H3547" s="50" t="s">
        <v>6356</v>
      </c>
    </row>
    <row r="3548" spans="3:8" x14ac:dyDescent="0.2">
      <c r="C3548" s="195">
        <v>44790</v>
      </c>
      <c r="D3548" s="55">
        <v>260</v>
      </c>
      <c r="E3548" s="55" t="s">
        <v>6357</v>
      </c>
      <c r="F3548" s="55" t="s">
        <v>219</v>
      </c>
      <c r="G3548" s="55" t="s">
        <v>451</v>
      </c>
      <c r="H3548" s="50" t="s">
        <v>224</v>
      </c>
    </row>
    <row r="3549" spans="3:8" x14ac:dyDescent="0.2">
      <c r="C3549" s="195">
        <v>44792</v>
      </c>
      <c r="D3549" s="55">
        <v>260</v>
      </c>
      <c r="E3549" s="55" t="s">
        <v>6358</v>
      </c>
      <c r="F3549" s="55" t="s">
        <v>263</v>
      </c>
      <c r="G3549" s="55" t="s">
        <v>506</v>
      </c>
      <c r="H3549" s="50" t="s">
        <v>6359</v>
      </c>
    </row>
    <row r="3550" spans="3:8" x14ac:dyDescent="0.2">
      <c r="C3550" s="195">
        <v>44798</v>
      </c>
      <c r="D3550" s="55">
        <v>280</v>
      </c>
      <c r="E3550" s="55" t="s">
        <v>6360</v>
      </c>
      <c r="F3550" s="55" t="s">
        <v>231</v>
      </c>
      <c r="G3550" s="55" t="s">
        <v>371</v>
      </c>
      <c r="H3550" s="50" t="s">
        <v>6361</v>
      </c>
    </row>
    <row r="3551" spans="3:8" x14ac:dyDescent="0.2">
      <c r="C3551" s="195">
        <v>44791</v>
      </c>
      <c r="D3551" s="55">
        <v>260</v>
      </c>
      <c r="E3551" s="55" t="s">
        <v>6362</v>
      </c>
      <c r="F3551" s="55" t="s">
        <v>231</v>
      </c>
      <c r="G3551" s="55" t="s">
        <v>232</v>
      </c>
      <c r="H3551" s="50" t="s">
        <v>6363</v>
      </c>
    </row>
    <row r="3552" spans="3:8" x14ac:dyDescent="0.2">
      <c r="C3552" s="195">
        <v>44790</v>
      </c>
      <c r="D3552" s="55">
        <v>280</v>
      </c>
      <c r="E3552" s="55" t="s">
        <v>6364</v>
      </c>
      <c r="F3552" s="55" t="s">
        <v>219</v>
      </c>
      <c r="G3552" s="55" t="s">
        <v>451</v>
      </c>
      <c r="H3552" s="50" t="s">
        <v>224</v>
      </c>
    </row>
    <row r="3553" spans="1:9" x14ac:dyDescent="0.2">
      <c r="C3553" s="195">
        <v>44789</v>
      </c>
      <c r="D3553" s="55">
        <v>260</v>
      </c>
      <c r="E3553" s="55" t="s">
        <v>6365</v>
      </c>
      <c r="F3553" s="55" t="s">
        <v>291</v>
      </c>
      <c r="G3553" s="55" t="s">
        <v>607</v>
      </c>
      <c r="H3553" s="50" t="s">
        <v>6366</v>
      </c>
    </row>
    <row r="3554" spans="1:9" x14ac:dyDescent="0.2">
      <c r="C3554" s="195">
        <v>44796</v>
      </c>
      <c r="D3554" s="55">
        <v>260</v>
      </c>
      <c r="E3554" s="55" t="s">
        <v>6367</v>
      </c>
      <c r="F3554" s="55" t="s">
        <v>196</v>
      </c>
      <c r="G3554" s="55" t="s">
        <v>349</v>
      </c>
      <c r="H3554" s="50" t="s">
        <v>6368</v>
      </c>
    </row>
    <row r="3555" spans="1:9" x14ac:dyDescent="0.2">
      <c r="C3555" s="195">
        <v>44781</v>
      </c>
      <c r="D3555" s="55">
        <v>280</v>
      </c>
      <c r="E3555" s="55" t="s">
        <v>6369</v>
      </c>
      <c r="F3555" s="55" t="s">
        <v>390</v>
      </c>
      <c r="G3555" s="55" t="s">
        <v>490</v>
      </c>
      <c r="H3555" s="50" t="s">
        <v>6370</v>
      </c>
    </row>
    <row r="3556" spans="1:9" x14ac:dyDescent="0.2">
      <c r="C3556" s="195">
        <v>44782</v>
      </c>
      <c r="D3556" s="55">
        <v>280</v>
      </c>
      <c r="E3556" s="55" t="s">
        <v>6371</v>
      </c>
      <c r="F3556" s="55" t="s">
        <v>267</v>
      </c>
      <c r="G3556" s="55" t="s">
        <v>535</v>
      </c>
      <c r="H3556" s="50" t="s">
        <v>6372</v>
      </c>
    </row>
    <row r="3557" spans="1:9" x14ac:dyDescent="0.2">
      <c r="C3557" s="195">
        <v>44803</v>
      </c>
      <c r="D3557" s="55">
        <v>280</v>
      </c>
      <c r="E3557" s="55" t="s">
        <v>6373</v>
      </c>
      <c r="F3557" s="55" t="s">
        <v>390</v>
      </c>
      <c r="G3557" s="55" t="s">
        <v>408</v>
      </c>
    </row>
    <row r="3558" spans="1:9" x14ac:dyDescent="0.2">
      <c r="C3558" s="195">
        <v>44790</v>
      </c>
      <c r="D3558" s="55">
        <v>260</v>
      </c>
      <c r="E3558" s="55" t="s">
        <v>6374</v>
      </c>
      <c r="F3558" s="55" t="s">
        <v>210</v>
      </c>
      <c r="G3558" s="55" t="s">
        <v>508</v>
      </c>
      <c r="H3558" s="50" t="s">
        <v>6375</v>
      </c>
    </row>
    <row r="3559" spans="1:9" x14ac:dyDescent="0.2">
      <c r="C3559" s="195">
        <v>44803</v>
      </c>
      <c r="D3559" s="55">
        <v>260</v>
      </c>
      <c r="E3559" s="55" t="s">
        <v>6376</v>
      </c>
      <c r="F3559" s="55" t="s">
        <v>192</v>
      </c>
      <c r="G3559" s="55" t="s">
        <v>487</v>
      </c>
      <c r="H3559" s="50" t="s">
        <v>6377</v>
      </c>
    </row>
    <row r="3560" spans="1:9" x14ac:dyDescent="0.2">
      <c r="C3560" s="195">
        <v>44798</v>
      </c>
      <c r="D3560" s="55">
        <v>280</v>
      </c>
      <c r="E3560" s="55" t="s">
        <v>6378</v>
      </c>
      <c r="F3560" s="55" t="s">
        <v>244</v>
      </c>
      <c r="G3560" s="55" t="s">
        <v>393</v>
      </c>
      <c r="H3560" s="50" t="s">
        <v>6379</v>
      </c>
    </row>
    <row r="3561" spans="1:9" x14ac:dyDescent="0.2">
      <c r="A3561" s="57">
        <v>822</v>
      </c>
      <c r="B3561" t="s">
        <v>836</v>
      </c>
      <c r="C3561" s="195">
        <v>44785</v>
      </c>
      <c r="D3561" s="55">
        <v>280</v>
      </c>
      <c r="E3561" s="55" t="s">
        <v>6380</v>
      </c>
      <c r="F3561" s="55" t="s">
        <v>267</v>
      </c>
      <c r="G3561" s="55" t="s">
        <v>813</v>
      </c>
      <c r="H3561" s="50" t="s">
        <v>224</v>
      </c>
      <c r="I3561" s="46" t="s">
        <v>837</v>
      </c>
    </row>
    <row r="3562" spans="1:9" x14ac:dyDescent="0.2">
      <c r="C3562" s="195">
        <v>44804</v>
      </c>
      <c r="D3562" s="55">
        <v>260</v>
      </c>
      <c r="E3562" s="55" t="s">
        <v>6381</v>
      </c>
      <c r="F3562" s="55" t="s">
        <v>291</v>
      </c>
      <c r="G3562" s="55" t="s">
        <v>1215</v>
      </c>
      <c r="H3562" s="50" t="s">
        <v>6382</v>
      </c>
    </row>
    <row r="3563" spans="1:9" x14ac:dyDescent="0.2">
      <c r="C3563" s="195">
        <v>44804</v>
      </c>
      <c r="D3563" s="55">
        <v>280</v>
      </c>
      <c r="E3563" s="55" t="s">
        <v>6383</v>
      </c>
      <c r="F3563" s="55" t="s">
        <v>210</v>
      </c>
      <c r="G3563" s="55" t="s">
        <v>496</v>
      </c>
      <c r="H3563" s="50" t="s">
        <v>6384</v>
      </c>
    </row>
    <row r="3564" spans="1:9" x14ac:dyDescent="0.2">
      <c r="C3564" s="195">
        <v>44782</v>
      </c>
      <c r="D3564" s="55">
        <v>260</v>
      </c>
      <c r="E3564" s="55" t="s">
        <v>6385</v>
      </c>
      <c r="F3564" s="55" t="s">
        <v>196</v>
      </c>
      <c r="G3564" s="55" t="s">
        <v>645</v>
      </c>
      <c r="H3564" s="50" t="s">
        <v>6386</v>
      </c>
    </row>
    <row r="3565" spans="1:9" x14ac:dyDescent="0.2">
      <c r="C3565" s="195">
        <v>44802</v>
      </c>
      <c r="D3565" s="55">
        <v>280</v>
      </c>
      <c r="E3565" s="55" t="s">
        <v>6387</v>
      </c>
      <c r="F3565" s="55" t="s">
        <v>390</v>
      </c>
      <c r="G3565" s="55" t="s">
        <v>391</v>
      </c>
      <c r="H3565" s="50" t="s">
        <v>6388</v>
      </c>
    </row>
    <row r="3566" spans="1:9" x14ac:dyDescent="0.2">
      <c r="C3566" s="195">
        <v>44804</v>
      </c>
      <c r="D3566" s="55">
        <v>280</v>
      </c>
      <c r="E3566" s="55" t="s">
        <v>6389</v>
      </c>
      <c r="F3566" s="55" t="s">
        <v>390</v>
      </c>
      <c r="G3566" s="55" t="s">
        <v>671</v>
      </c>
      <c r="H3566" s="50" t="s">
        <v>6390</v>
      </c>
    </row>
    <row r="3567" spans="1:9" x14ac:dyDescent="0.2">
      <c r="C3567" s="195">
        <v>44788</v>
      </c>
      <c r="D3567" s="55">
        <v>280</v>
      </c>
      <c r="E3567" s="55" t="s">
        <v>6391</v>
      </c>
      <c r="F3567" s="55" t="s">
        <v>231</v>
      </c>
      <c r="G3567" s="55" t="s">
        <v>1241</v>
      </c>
      <c r="H3567" s="50" t="s">
        <v>224</v>
      </c>
    </row>
    <row r="3568" spans="1:9" x14ac:dyDescent="0.2">
      <c r="C3568" s="195">
        <v>44802</v>
      </c>
      <c r="D3568" s="55">
        <v>280</v>
      </c>
      <c r="E3568" s="55" t="s">
        <v>6392</v>
      </c>
      <c r="F3568" s="55" t="s">
        <v>231</v>
      </c>
      <c r="G3568" s="55" t="s">
        <v>371</v>
      </c>
      <c r="H3568" s="50" t="s">
        <v>6393</v>
      </c>
    </row>
    <row r="3569" spans="1:62" x14ac:dyDescent="0.2">
      <c r="C3569" s="195">
        <v>44798</v>
      </c>
      <c r="D3569" s="55">
        <v>260</v>
      </c>
      <c r="E3569" s="55" t="s">
        <v>6394</v>
      </c>
      <c r="F3569" s="55" t="s">
        <v>244</v>
      </c>
      <c r="G3569" s="55" t="s">
        <v>767</v>
      </c>
    </row>
    <row r="3570" spans="1:62" x14ac:dyDescent="0.2">
      <c r="C3570" s="195">
        <v>44795</v>
      </c>
      <c r="D3570" s="55">
        <v>260</v>
      </c>
      <c r="E3570" s="55" t="s">
        <v>6395</v>
      </c>
      <c r="F3570" s="55" t="s">
        <v>263</v>
      </c>
      <c r="G3570" s="55" t="s">
        <v>506</v>
      </c>
      <c r="H3570" s="50" t="s">
        <v>6396</v>
      </c>
    </row>
    <row r="3571" spans="1:62" x14ac:dyDescent="0.2">
      <c r="C3571" s="195">
        <v>44803</v>
      </c>
      <c r="D3571" s="55">
        <v>280</v>
      </c>
      <c r="E3571" s="55" t="s">
        <v>6397</v>
      </c>
      <c r="F3571" s="55" t="s">
        <v>267</v>
      </c>
      <c r="G3571" s="55" t="s">
        <v>813</v>
      </c>
      <c r="H3571" s="50" t="s">
        <v>6207</v>
      </c>
    </row>
    <row r="3572" spans="1:62" x14ac:dyDescent="0.2">
      <c r="C3572" s="195">
        <v>44783</v>
      </c>
      <c r="D3572" s="55">
        <v>260</v>
      </c>
      <c r="E3572" s="55" t="s">
        <v>6398</v>
      </c>
      <c r="F3572" s="55" t="s">
        <v>231</v>
      </c>
      <c r="G3572" s="55" t="s">
        <v>255</v>
      </c>
      <c r="H3572" s="50" t="s">
        <v>6399</v>
      </c>
    </row>
    <row r="3573" spans="1:62" x14ac:dyDescent="0.2">
      <c r="C3573" s="195">
        <v>44803</v>
      </c>
      <c r="D3573" s="55">
        <v>260</v>
      </c>
      <c r="E3573" s="55" t="s">
        <v>6400</v>
      </c>
      <c r="F3573" s="55" t="s">
        <v>210</v>
      </c>
      <c r="G3573" s="55" t="s">
        <v>508</v>
      </c>
      <c r="H3573" s="50" t="s">
        <v>224</v>
      </c>
    </row>
    <row r="3574" spans="1:62" x14ac:dyDescent="0.2">
      <c r="C3574" s="195">
        <v>44778</v>
      </c>
      <c r="D3574" s="55">
        <v>280</v>
      </c>
      <c r="E3574" s="55" t="s">
        <v>6401</v>
      </c>
      <c r="F3574" s="55" t="s">
        <v>272</v>
      </c>
      <c r="G3574" s="55" t="s">
        <v>683</v>
      </c>
      <c r="H3574" s="50" t="s">
        <v>6402</v>
      </c>
    </row>
    <row r="3575" spans="1:62" x14ac:dyDescent="0.2">
      <c r="C3575" s="195">
        <v>44795</v>
      </c>
      <c r="D3575" s="55">
        <v>260</v>
      </c>
      <c r="E3575" s="55" t="s">
        <v>6403</v>
      </c>
      <c r="F3575" s="55" t="s">
        <v>231</v>
      </c>
      <c r="G3575" s="55" t="s">
        <v>648</v>
      </c>
      <c r="H3575" s="50" t="s">
        <v>6404</v>
      </c>
    </row>
    <row r="3576" spans="1:62" x14ac:dyDescent="0.2">
      <c r="C3576" s="195">
        <v>44783</v>
      </c>
      <c r="D3576" s="55">
        <v>280</v>
      </c>
      <c r="E3576" s="55" t="s">
        <v>6405</v>
      </c>
      <c r="F3576" s="55" t="s">
        <v>196</v>
      </c>
      <c r="G3576" s="55" t="s">
        <v>349</v>
      </c>
      <c r="H3576" s="50" t="s">
        <v>6406</v>
      </c>
    </row>
    <row r="3577" spans="1:62" x14ac:dyDescent="0.2">
      <c r="C3577" s="195">
        <v>44787</v>
      </c>
      <c r="D3577" s="55">
        <v>280</v>
      </c>
      <c r="E3577" s="55" t="s">
        <v>6407</v>
      </c>
      <c r="F3577" s="55" t="s">
        <v>263</v>
      </c>
      <c r="G3577" s="55" t="s">
        <v>1005</v>
      </c>
      <c r="H3577" s="50" t="s">
        <v>224</v>
      </c>
    </row>
    <row r="3578" spans="1:62" x14ac:dyDescent="0.2">
      <c r="C3578" s="195">
        <v>44781</v>
      </c>
      <c r="D3578" s="55">
        <v>280</v>
      </c>
      <c r="E3578" s="55" t="s">
        <v>6408</v>
      </c>
      <c r="F3578" s="55" t="s">
        <v>263</v>
      </c>
      <c r="G3578" s="55" t="s">
        <v>693</v>
      </c>
      <c r="H3578" s="50" t="s">
        <v>224</v>
      </c>
    </row>
    <row r="3579" spans="1:62" x14ac:dyDescent="0.2">
      <c r="C3579" s="195">
        <v>44799</v>
      </c>
      <c r="D3579" s="55">
        <v>280</v>
      </c>
      <c r="E3579" s="55" t="s">
        <v>6409</v>
      </c>
      <c r="F3579" s="55" t="s">
        <v>263</v>
      </c>
      <c r="G3579" s="55" t="s">
        <v>413</v>
      </c>
      <c r="H3579" s="50" t="s">
        <v>224</v>
      </c>
    </row>
    <row r="3580" spans="1:62" x14ac:dyDescent="0.2">
      <c r="A3580" s="57">
        <v>822</v>
      </c>
      <c r="B3580" t="s">
        <v>836</v>
      </c>
      <c r="C3580" s="195">
        <v>44796</v>
      </c>
      <c r="D3580" s="55">
        <v>280</v>
      </c>
      <c r="E3580" s="55" t="s">
        <v>6410</v>
      </c>
      <c r="F3580" s="55" t="s">
        <v>390</v>
      </c>
      <c r="G3580" s="55" t="s">
        <v>922</v>
      </c>
      <c r="H3580" s="50" t="s">
        <v>224</v>
      </c>
      <c r="I3580" s="46" t="s">
        <v>839</v>
      </c>
      <c r="J3580" s="52">
        <v>1</v>
      </c>
      <c r="K3580" s="52">
        <v>2</v>
      </c>
      <c r="O3580" s="1">
        <v>2</v>
      </c>
      <c r="S3580" s="1">
        <v>2</v>
      </c>
      <c r="W3580" s="1">
        <v>2</v>
      </c>
      <c r="AA3580" s="1">
        <v>2</v>
      </c>
      <c r="AG3580">
        <v>2</v>
      </c>
      <c r="AM3580">
        <v>1</v>
      </c>
      <c r="AN3580">
        <v>4</v>
      </c>
      <c r="AO3580">
        <v>4</v>
      </c>
      <c r="AP3580">
        <v>4</v>
      </c>
      <c r="AQ3580">
        <v>4</v>
      </c>
      <c r="AR3580">
        <v>4</v>
      </c>
      <c r="AS3580">
        <v>1</v>
      </c>
      <c r="AT3580">
        <v>2</v>
      </c>
      <c r="AU3580">
        <v>2</v>
      </c>
      <c r="AZ3580">
        <v>1</v>
      </c>
      <c r="BA3580">
        <v>4</v>
      </c>
      <c r="BB3580">
        <v>4</v>
      </c>
      <c r="BC3580">
        <v>4</v>
      </c>
      <c r="BD3580">
        <v>4</v>
      </c>
      <c r="BE3580">
        <v>2</v>
      </c>
      <c r="BJ3580">
        <v>2</v>
      </c>
    </row>
    <row r="3581" spans="1:62" x14ac:dyDescent="0.2">
      <c r="C3581" s="195">
        <v>44804</v>
      </c>
      <c r="D3581" s="55">
        <v>260</v>
      </c>
      <c r="E3581" s="55" t="s">
        <v>6411</v>
      </c>
      <c r="F3581" s="55" t="s">
        <v>192</v>
      </c>
      <c r="G3581" s="55" t="s">
        <v>640</v>
      </c>
      <c r="H3581" s="50" t="s">
        <v>6412</v>
      </c>
    </row>
    <row r="3582" spans="1:62" x14ac:dyDescent="0.2">
      <c r="C3582" s="195">
        <v>44776</v>
      </c>
      <c r="D3582" s="55">
        <v>280</v>
      </c>
      <c r="E3582" s="55" t="s">
        <v>6413</v>
      </c>
      <c r="F3582" s="55" t="s">
        <v>263</v>
      </c>
      <c r="G3582" s="55" t="s">
        <v>1005</v>
      </c>
      <c r="H3582" s="50" t="s">
        <v>6414</v>
      </c>
    </row>
    <row r="3583" spans="1:62" x14ac:dyDescent="0.2">
      <c r="C3583" s="195">
        <v>44790</v>
      </c>
      <c r="D3583" s="55">
        <v>280</v>
      </c>
      <c r="E3583" s="55" t="s">
        <v>6415</v>
      </c>
      <c r="F3583" s="55" t="s">
        <v>263</v>
      </c>
      <c r="G3583" s="55" t="s">
        <v>892</v>
      </c>
      <c r="H3583" s="50" t="s">
        <v>6416</v>
      </c>
    </row>
    <row r="3584" spans="1:62" x14ac:dyDescent="0.2">
      <c r="C3584" s="195">
        <v>44785</v>
      </c>
      <c r="D3584" s="55">
        <v>260</v>
      </c>
      <c r="E3584" s="55" t="s">
        <v>6417</v>
      </c>
      <c r="F3584" s="55" t="s">
        <v>390</v>
      </c>
      <c r="G3584" s="55" t="s">
        <v>490</v>
      </c>
      <c r="H3584" s="50" t="s">
        <v>6418</v>
      </c>
    </row>
    <row r="3585" spans="1:62" x14ac:dyDescent="0.2">
      <c r="C3585" s="195">
        <v>44802</v>
      </c>
      <c r="D3585" s="55">
        <v>280</v>
      </c>
      <c r="E3585" s="55" t="s">
        <v>6419</v>
      </c>
      <c r="F3585" s="55" t="s">
        <v>231</v>
      </c>
      <c r="G3585" s="55" t="s">
        <v>371</v>
      </c>
      <c r="H3585" s="50" t="s">
        <v>6420</v>
      </c>
    </row>
    <row r="3586" spans="1:62" x14ac:dyDescent="0.2">
      <c r="C3586" s="195">
        <v>44784</v>
      </c>
      <c r="D3586" s="55">
        <v>260</v>
      </c>
      <c r="E3586" s="55" t="s">
        <v>6421</v>
      </c>
      <c r="F3586" s="55" t="s">
        <v>231</v>
      </c>
      <c r="G3586" s="55" t="s">
        <v>255</v>
      </c>
      <c r="H3586" s="50" t="s">
        <v>6422</v>
      </c>
    </row>
    <row r="3587" spans="1:62" x14ac:dyDescent="0.2">
      <c r="C3587" s="195">
        <v>44782</v>
      </c>
      <c r="D3587" s="55">
        <v>280</v>
      </c>
      <c r="E3587" s="55" t="s">
        <v>6423</v>
      </c>
      <c r="F3587" s="55" t="s">
        <v>244</v>
      </c>
      <c r="G3587" s="55" t="s">
        <v>767</v>
      </c>
      <c r="H3587" s="50" t="s">
        <v>6424</v>
      </c>
    </row>
    <row r="3588" spans="1:62" x14ac:dyDescent="0.2">
      <c r="C3588" s="195">
        <v>44802</v>
      </c>
      <c r="D3588" s="55">
        <v>260</v>
      </c>
      <c r="E3588" s="55" t="s">
        <v>6425</v>
      </c>
      <c r="F3588" s="55" t="s">
        <v>390</v>
      </c>
      <c r="G3588" s="55" t="s">
        <v>391</v>
      </c>
      <c r="H3588" s="50" t="s">
        <v>6426</v>
      </c>
    </row>
    <row r="3589" spans="1:62" x14ac:dyDescent="0.2">
      <c r="C3589" s="195">
        <v>44776</v>
      </c>
      <c r="D3589" s="55">
        <v>280</v>
      </c>
      <c r="E3589" s="55" t="s">
        <v>6427</v>
      </c>
      <c r="F3589" s="55" t="s">
        <v>390</v>
      </c>
      <c r="G3589" s="55" t="s">
        <v>590</v>
      </c>
      <c r="H3589" s="50" t="s">
        <v>224</v>
      </c>
    </row>
    <row r="3590" spans="1:62" x14ac:dyDescent="0.2">
      <c r="C3590" s="195">
        <v>44787</v>
      </c>
      <c r="D3590" s="55">
        <v>280</v>
      </c>
      <c r="E3590" s="55" t="s">
        <v>6428</v>
      </c>
      <c r="F3590" s="55" t="s">
        <v>263</v>
      </c>
      <c r="G3590" s="55" t="s">
        <v>1005</v>
      </c>
      <c r="H3590" s="50" t="s">
        <v>6429</v>
      </c>
    </row>
    <row r="3591" spans="1:62" x14ac:dyDescent="0.2">
      <c r="C3591" s="195">
        <v>44803</v>
      </c>
      <c r="D3591" s="55">
        <v>260</v>
      </c>
      <c r="E3591" s="55" t="s">
        <v>6430</v>
      </c>
      <c r="F3591" s="55" t="s">
        <v>210</v>
      </c>
      <c r="G3591" s="55" t="s">
        <v>306</v>
      </c>
      <c r="H3591" s="50" t="s">
        <v>6431</v>
      </c>
    </row>
    <row r="3592" spans="1:62" x14ac:dyDescent="0.2">
      <c r="C3592" s="195">
        <v>44775</v>
      </c>
      <c r="D3592" s="55">
        <v>260</v>
      </c>
      <c r="E3592" s="55" t="s">
        <v>6432</v>
      </c>
      <c r="F3592" s="55" t="s">
        <v>210</v>
      </c>
      <c r="G3592" s="55" t="s">
        <v>1572</v>
      </c>
      <c r="H3592" s="50" t="s">
        <v>6433</v>
      </c>
    </row>
    <row r="3593" spans="1:62" x14ac:dyDescent="0.2">
      <c r="A3593" s="57">
        <v>822</v>
      </c>
      <c r="B3593" t="s">
        <v>836</v>
      </c>
      <c r="C3593" s="195">
        <v>44802</v>
      </c>
      <c r="D3593" s="55">
        <v>280</v>
      </c>
      <c r="E3593" s="55" t="s">
        <v>6434</v>
      </c>
      <c r="F3593" s="55" t="s">
        <v>390</v>
      </c>
      <c r="G3593" s="55" t="s">
        <v>391</v>
      </c>
      <c r="H3593" s="50" t="s">
        <v>224</v>
      </c>
      <c r="I3593" s="46" t="s">
        <v>839</v>
      </c>
      <c r="J3593" s="52">
        <v>1</v>
      </c>
      <c r="K3593" s="52">
        <v>1</v>
      </c>
      <c r="O3593" s="1">
        <v>1</v>
      </c>
      <c r="S3593" s="1">
        <v>1</v>
      </c>
      <c r="W3593" s="1">
        <v>1</v>
      </c>
      <c r="AA3593" s="1">
        <v>1</v>
      </c>
      <c r="AG3593">
        <v>5</v>
      </c>
      <c r="AM3593">
        <v>4</v>
      </c>
      <c r="AS3593">
        <v>4</v>
      </c>
      <c r="AT3593">
        <v>1</v>
      </c>
      <c r="AU3593">
        <v>1</v>
      </c>
      <c r="AZ3593">
        <v>1</v>
      </c>
      <c r="BA3593">
        <v>1</v>
      </c>
      <c r="BB3593">
        <v>1</v>
      </c>
      <c r="BC3593">
        <v>1</v>
      </c>
      <c r="BD3593">
        <v>1</v>
      </c>
      <c r="BE3593">
        <v>1</v>
      </c>
      <c r="BJ3593">
        <v>1</v>
      </c>
    </row>
    <row r="3594" spans="1:62" x14ac:dyDescent="0.2">
      <c r="C3594" s="195">
        <v>44804</v>
      </c>
      <c r="D3594" s="55">
        <v>260</v>
      </c>
      <c r="E3594" s="55" t="s">
        <v>6435</v>
      </c>
      <c r="F3594" s="55" t="s">
        <v>231</v>
      </c>
      <c r="G3594" s="55" t="s">
        <v>232</v>
      </c>
      <c r="H3594" s="50" t="s">
        <v>6436</v>
      </c>
    </row>
    <row r="3595" spans="1:62" x14ac:dyDescent="0.2">
      <c r="C3595" s="195">
        <v>44803</v>
      </c>
      <c r="D3595" s="55">
        <v>280</v>
      </c>
      <c r="E3595" s="55" t="s">
        <v>6437</v>
      </c>
      <c r="F3595" s="55" t="s">
        <v>192</v>
      </c>
      <c r="G3595" s="55" t="s">
        <v>487</v>
      </c>
      <c r="H3595" s="50" t="s">
        <v>6438</v>
      </c>
    </row>
    <row r="3596" spans="1:62" x14ac:dyDescent="0.2">
      <c r="C3596" s="195">
        <v>44802</v>
      </c>
      <c r="D3596" s="55">
        <v>260</v>
      </c>
      <c r="E3596" s="55" t="s">
        <v>6439</v>
      </c>
      <c r="F3596" s="55" t="s">
        <v>231</v>
      </c>
      <c r="G3596" s="55" t="s">
        <v>421</v>
      </c>
      <c r="H3596" s="50" t="s">
        <v>6440</v>
      </c>
    </row>
    <row r="3597" spans="1:62" x14ac:dyDescent="0.2">
      <c r="C3597" s="195">
        <v>44783</v>
      </c>
      <c r="D3597" s="55">
        <v>280</v>
      </c>
      <c r="E3597" s="55" t="s">
        <v>6441</v>
      </c>
      <c r="F3597" s="55" t="s">
        <v>219</v>
      </c>
      <c r="G3597" s="55" t="s">
        <v>223</v>
      </c>
      <c r="H3597" s="50" t="s">
        <v>6442</v>
      </c>
    </row>
    <row r="3598" spans="1:62" x14ac:dyDescent="0.2">
      <c r="C3598" s="195">
        <v>44813</v>
      </c>
      <c r="D3598" s="55">
        <v>260</v>
      </c>
      <c r="E3598" s="55" t="s">
        <v>6443</v>
      </c>
      <c r="F3598" s="55" t="s">
        <v>210</v>
      </c>
      <c r="G3598" s="55" t="s">
        <v>883</v>
      </c>
      <c r="H3598" s="50" t="s">
        <v>6444</v>
      </c>
    </row>
    <row r="3599" spans="1:62" x14ac:dyDescent="0.2">
      <c r="C3599" s="195">
        <v>44830</v>
      </c>
      <c r="D3599" s="55">
        <v>280</v>
      </c>
      <c r="E3599" s="55" t="s">
        <v>6445</v>
      </c>
      <c r="F3599" s="55" t="s">
        <v>244</v>
      </c>
      <c r="G3599" s="55" t="s">
        <v>378</v>
      </c>
      <c r="H3599" s="50" t="s">
        <v>6446</v>
      </c>
    </row>
    <row r="3600" spans="1:62" x14ac:dyDescent="0.2">
      <c r="C3600" s="195">
        <v>44825</v>
      </c>
      <c r="D3600" s="55">
        <v>260</v>
      </c>
      <c r="E3600" s="55" t="s">
        <v>6447</v>
      </c>
      <c r="F3600" s="55" t="s">
        <v>210</v>
      </c>
      <c r="G3600" s="55" t="s">
        <v>883</v>
      </c>
      <c r="H3600" s="50" t="s">
        <v>6448</v>
      </c>
    </row>
    <row r="3601" spans="1:62" x14ac:dyDescent="0.2">
      <c r="A3601" s="57">
        <v>922</v>
      </c>
      <c r="B3601" t="s">
        <v>836</v>
      </c>
      <c r="C3601" s="195">
        <v>44831</v>
      </c>
      <c r="D3601" s="55">
        <v>260</v>
      </c>
      <c r="E3601" s="55" t="s">
        <v>6449</v>
      </c>
      <c r="F3601" s="55" t="s">
        <v>263</v>
      </c>
      <c r="G3601" s="55" t="s">
        <v>995</v>
      </c>
      <c r="H3601" s="50" t="s">
        <v>224</v>
      </c>
      <c r="I3601" s="46" t="s">
        <v>839</v>
      </c>
      <c r="J3601" s="52">
        <v>1</v>
      </c>
      <c r="K3601" s="52">
        <v>1</v>
      </c>
      <c r="O3601" s="1">
        <v>1</v>
      </c>
      <c r="S3601" s="1">
        <v>1</v>
      </c>
      <c r="W3601" s="1">
        <v>1</v>
      </c>
      <c r="AA3601" s="1">
        <v>1</v>
      </c>
      <c r="AG3601">
        <v>1</v>
      </c>
      <c r="AM3601">
        <v>5</v>
      </c>
      <c r="AS3601">
        <v>4</v>
      </c>
      <c r="AT3601">
        <v>1</v>
      </c>
      <c r="AU3601">
        <v>1</v>
      </c>
      <c r="AZ3601">
        <v>1</v>
      </c>
      <c r="BA3601">
        <v>3</v>
      </c>
      <c r="BB3601">
        <v>3</v>
      </c>
      <c r="BC3601">
        <v>3</v>
      </c>
      <c r="BD3601">
        <v>3</v>
      </c>
      <c r="BE3601">
        <v>1</v>
      </c>
      <c r="BJ3601">
        <v>1</v>
      </c>
    </row>
    <row r="3602" spans="1:62" x14ac:dyDescent="0.2">
      <c r="C3602" s="195">
        <v>44826</v>
      </c>
      <c r="D3602" s="55">
        <v>280</v>
      </c>
      <c r="E3602" s="55" t="s">
        <v>6450</v>
      </c>
      <c r="F3602" s="55" t="s">
        <v>263</v>
      </c>
      <c r="G3602" s="55" t="s">
        <v>1360</v>
      </c>
      <c r="H3602" s="50" t="s">
        <v>6451</v>
      </c>
    </row>
    <row r="3603" spans="1:62" x14ac:dyDescent="0.2">
      <c r="C3603" s="195">
        <v>44818</v>
      </c>
      <c r="D3603" s="55">
        <v>260</v>
      </c>
      <c r="E3603" s="55" t="s">
        <v>6452</v>
      </c>
      <c r="F3603" s="55" t="s">
        <v>196</v>
      </c>
      <c r="G3603" s="55" t="s">
        <v>415</v>
      </c>
      <c r="H3603" s="50" t="s">
        <v>6453</v>
      </c>
    </row>
    <row r="3604" spans="1:62" x14ac:dyDescent="0.2">
      <c r="C3604" s="195">
        <v>44818</v>
      </c>
      <c r="D3604" s="55">
        <v>260</v>
      </c>
      <c r="E3604" s="55" t="s">
        <v>6454</v>
      </c>
      <c r="F3604" s="55" t="s">
        <v>231</v>
      </c>
      <c r="G3604" s="55" t="s">
        <v>648</v>
      </c>
      <c r="H3604" s="50" t="s">
        <v>6455</v>
      </c>
    </row>
    <row r="3605" spans="1:62" x14ac:dyDescent="0.2">
      <c r="C3605" s="195">
        <v>44831</v>
      </c>
      <c r="D3605" s="55">
        <v>260</v>
      </c>
      <c r="E3605" s="55" t="s">
        <v>6456</v>
      </c>
      <c r="F3605" s="55" t="s">
        <v>192</v>
      </c>
      <c r="G3605" s="55" t="s">
        <v>663</v>
      </c>
    </row>
    <row r="3606" spans="1:62" x14ac:dyDescent="0.2">
      <c r="C3606" s="195">
        <v>44826</v>
      </c>
      <c r="D3606" s="55">
        <v>260</v>
      </c>
      <c r="E3606" s="55" t="s">
        <v>6457</v>
      </c>
      <c r="F3606" s="55" t="s">
        <v>196</v>
      </c>
      <c r="G3606" s="55" t="s">
        <v>498</v>
      </c>
      <c r="H3606" s="50" t="s">
        <v>6458</v>
      </c>
    </row>
    <row r="3607" spans="1:62" x14ac:dyDescent="0.2">
      <c r="C3607" s="195">
        <v>44811</v>
      </c>
      <c r="D3607" s="55">
        <v>280</v>
      </c>
      <c r="E3607" s="55" t="s">
        <v>6459</v>
      </c>
      <c r="F3607" s="55" t="s">
        <v>210</v>
      </c>
      <c r="G3607" s="55" t="s">
        <v>211</v>
      </c>
      <c r="H3607" s="50" t="s">
        <v>6460</v>
      </c>
    </row>
    <row r="3608" spans="1:62" x14ac:dyDescent="0.2">
      <c r="C3608" s="195">
        <v>44820</v>
      </c>
      <c r="D3608" s="55">
        <v>260</v>
      </c>
      <c r="E3608" s="55" t="s">
        <v>6461</v>
      </c>
      <c r="F3608" s="55" t="s">
        <v>244</v>
      </c>
      <c r="G3608" s="55" t="s">
        <v>378</v>
      </c>
      <c r="H3608" s="50" t="s">
        <v>6462</v>
      </c>
    </row>
    <row r="3609" spans="1:62" x14ac:dyDescent="0.2">
      <c r="C3609" s="195">
        <v>44810</v>
      </c>
      <c r="D3609" s="55">
        <v>260</v>
      </c>
      <c r="E3609" s="55" t="s">
        <v>6463</v>
      </c>
      <c r="F3609" s="55" t="s">
        <v>210</v>
      </c>
      <c r="G3609" s="55" t="s">
        <v>496</v>
      </c>
      <c r="H3609" s="50" t="s">
        <v>6464</v>
      </c>
    </row>
    <row r="3610" spans="1:62" x14ac:dyDescent="0.2">
      <c r="C3610" s="195">
        <v>44820</v>
      </c>
      <c r="D3610" s="55">
        <v>260</v>
      </c>
      <c r="E3610" s="55" t="s">
        <v>6465</v>
      </c>
      <c r="F3610" s="55" t="s">
        <v>192</v>
      </c>
      <c r="G3610" s="55" t="s">
        <v>258</v>
      </c>
      <c r="H3610" s="50" t="s">
        <v>6466</v>
      </c>
    </row>
    <row r="3611" spans="1:62" x14ac:dyDescent="0.2">
      <c r="C3611" s="195">
        <v>44827</v>
      </c>
      <c r="D3611" s="55">
        <v>260</v>
      </c>
      <c r="E3611" s="55" t="s">
        <v>6467</v>
      </c>
      <c r="F3611" s="55" t="s">
        <v>263</v>
      </c>
      <c r="G3611" s="55" t="s">
        <v>426</v>
      </c>
      <c r="H3611" s="50" t="s">
        <v>6468</v>
      </c>
    </row>
    <row r="3612" spans="1:62" x14ac:dyDescent="0.2">
      <c r="C3612" s="195">
        <v>44813</v>
      </c>
      <c r="D3612" s="55">
        <v>260</v>
      </c>
      <c r="E3612" s="55" t="s">
        <v>6469</v>
      </c>
      <c r="F3612" s="55" t="s">
        <v>202</v>
      </c>
      <c r="G3612" s="55" t="s">
        <v>302</v>
      </c>
      <c r="H3612" s="50" t="s">
        <v>6470</v>
      </c>
    </row>
    <row r="3613" spans="1:62" x14ac:dyDescent="0.2">
      <c r="C3613" s="195">
        <v>44805</v>
      </c>
      <c r="D3613" s="55">
        <v>260</v>
      </c>
      <c r="E3613" s="55" t="s">
        <v>6471</v>
      </c>
      <c r="F3613" s="55" t="s">
        <v>231</v>
      </c>
      <c r="G3613" s="55" t="s">
        <v>421</v>
      </c>
      <c r="H3613" s="50" t="s">
        <v>6472</v>
      </c>
    </row>
    <row r="3614" spans="1:62" x14ac:dyDescent="0.2">
      <c r="C3614" s="195">
        <v>44825</v>
      </c>
      <c r="D3614" s="55">
        <v>260</v>
      </c>
      <c r="E3614" s="55" t="s">
        <v>6473</v>
      </c>
      <c r="F3614" s="55" t="s">
        <v>192</v>
      </c>
      <c r="G3614" s="55" t="s">
        <v>563</v>
      </c>
      <c r="H3614" s="50" t="s">
        <v>6474</v>
      </c>
    </row>
    <row r="3615" spans="1:62" x14ac:dyDescent="0.2">
      <c r="C3615" s="195">
        <v>44812</v>
      </c>
      <c r="D3615" s="55">
        <v>260</v>
      </c>
      <c r="E3615" s="55" t="s">
        <v>6475</v>
      </c>
      <c r="F3615" s="55" t="s">
        <v>267</v>
      </c>
      <c r="G3615" s="55" t="s">
        <v>1109</v>
      </c>
      <c r="H3615" s="50" t="s">
        <v>6476</v>
      </c>
    </row>
    <row r="3616" spans="1:62" x14ac:dyDescent="0.2">
      <c r="C3616" s="195">
        <v>44834</v>
      </c>
      <c r="D3616" s="55">
        <v>260</v>
      </c>
      <c r="E3616" s="55" t="s">
        <v>6477</v>
      </c>
      <c r="F3616" s="55" t="s">
        <v>272</v>
      </c>
      <c r="G3616" s="55" t="s">
        <v>273</v>
      </c>
      <c r="H3616" s="50" t="s">
        <v>6478</v>
      </c>
    </row>
    <row r="3617" spans="1:62" x14ac:dyDescent="0.2">
      <c r="C3617" s="195">
        <v>44831</v>
      </c>
      <c r="D3617" s="55">
        <v>280</v>
      </c>
      <c r="E3617" s="55" t="s">
        <v>6479</v>
      </c>
      <c r="F3617" s="55" t="s">
        <v>196</v>
      </c>
      <c r="G3617" s="55" t="s">
        <v>498</v>
      </c>
      <c r="H3617" s="50" t="s">
        <v>6480</v>
      </c>
    </row>
    <row r="3618" spans="1:62" x14ac:dyDescent="0.2">
      <c r="C3618" s="195">
        <v>44834</v>
      </c>
      <c r="D3618" s="55">
        <v>260</v>
      </c>
      <c r="E3618" s="55" t="s">
        <v>6481</v>
      </c>
      <c r="F3618" s="55" t="s">
        <v>272</v>
      </c>
      <c r="G3618" s="55" t="s">
        <v>273</v>
      </c>
      <c r="H3618" s="50" t="s">
        <v>6482</v>
      </c>
    </row>
    <row r="3619" spans="1:62" x14ac:dyDescent="0.2">
      <c r="C3619" s="195">
        <v>44826</v>
      </c>
      <c r="D3619" s="55">
        <v>280</v>
      </c>
      <c r="E3619" s="55" t="s">
        <v>6483</v>
      </c>
      <c r="F3619" s="55" t="s">
        <v>390</v>
      </c>
      <c r="G3619" s="55" t="s">
        <v>408</v>
      </c>
      <c r="H3619" s="50" t="s">
        <v>6484</v>
      </c>
    </row>
    <row r="3620" spans="1:62" x14ac:dyDescent="0.2">
      <c r="C3620" s="195">
        <v>44813</v>
      </c>
      <c r="D3620" s="55">
        <v>260</v>
      </c>
      <c r="E3620" s="55" t="s">
        <v>6485</v>
      </c>
      <c r="F3620" s="55" t="s">
        <v>210</v>
      </c>
      <c r="G3620" s="55" t="s">
        <v>306</v>
      </c>
      <c r="H3620" s="50" t="s">
        <v>6486</v>
      </c>
    </row>
    <row r="3621" spans="1:62" x14ac:dyDescent="0.2">
      <c r="A3621" s="57">
        <v>922</v>
      </c>
      <c r="B3621" t="s">
        <v>836</v>
      </c>
      <c r="C3621" s="195">
        <v>44831</v>
      </c>
      <c r="D3621" s="55">
        <v>260</v>
      </c>
      <c r="E3621" s="55" t="s">
        <v>6487</v>
      </c>
      <c r="F3621" s="55" t="s">
        <v>210</v>
      </c>
      <c r="G3621" s="55" t="s">
        <v>496</v>
      </c>
      <c r="H3621" s="50" t="s">
        <v>224</v>
      </c>
      <c r="I3621" s="46" t="s">
        <v>839</v>
      </c>
      <c r="J3621" s="52">
        <v>1</v>
      </c>
      <c r="K3621" s="52">
        <v>1</v>
      </c>
      <c r="O3621" s="1">
        <v>1</v>
      </c>
      <c r="S3621" s="1">
        <v>1</v>
      </c>
      <c r="W3621" s="1">
        <v>1</v>
      </c>
      <c r="AA3621" s="1">
        <v>1</v>
      </c>
      <c r="AG3621">
        <v>1</v>
      </c>
      <c r="AM3621">
        <v>1</v>
      </c>
      <c r="AN3621">
        <v>3</v>
      </c>
      <c r="AO3621">
        <v>3</v>
      </c>
      <c r="AP3621">
        <v>1</v>
      </c>
      <c r="AQ3621">
        <v>2</v>
      </c>
      <c r="AR3621">
        <v>2</v>
      </c>
      <c r="AS3621">
        <v>4</v>
      </c>
      <c r="AT3621">
        <v>1</v>
      </c>
      <c r="AU3621">
        <v>1</v>
      </c>
      <c r="AZ3621">
        <v>1</v>
      </c>
      <c r="BA3621">
        <v>1</v>
      </c>
      <c r="BB3621">
        <v>1</v>
      </c>
      <c r="BC3621">
        <v>1</v>
      </c>
      <c r="BD3621">
        <v>1</v>
      </c>
      <c r="BE3621">
        <v>1</v>
      </c>
      <c r="BJ3621">
        <v>1</v>
      </c>
    </row>
    <row r="3622" spans="1:62" x14ac:dyDescent="0.2">
      <c r="C3622" s="195">
        <v>44805</v>
      </c>
      <c r="D3622" s="55">
        <v>260</v>
      </c>
      <c r="E3622" s="55" t="s">
        <v>6488</v>
      </c>
      <c r="F3622" s="55" t="s">
        <v>202</v>
      </c>
      <c r="G3622" s="55" t="s">
        <v>302</v>
      </c>
      <c r="H3622" s="50" t="s">
        <v>6489</v>
      </c>
    </row>
    <row r="3623" spans="1:62" x14ac:dyDescent="0.2">
      <c r="C3623" s="195">
        <v>44823</v>
      </c>
      <c r="D3623" s="55">
        <v>260</v>
      </c>
      <c r="E3623" s="55" t="s">
        <v>6490</v>
      </c>
      <c r="F3623" s="55" t="s">
        <v>267</v>
      </c>
      <c r="G3623" s="55" t="s">
        <v>535</v>
      </c>
      <c r="H3623" s="50" t="s">
        <v>224</v>
      </c>
    </row>
    <row r="3624" spans="1:62" x14ac:dyDescent="0.2">
      <c r="C3624" s="195">
        <v>44813</v>
      </c>
      <c r="D3624" s="55">
        <v>260</v>
      </c>
      <c r="E3624" s="55" t="s">
        <v>6491</v>
      </c>
      <c r="F3624" s="55" t="s">
        <v>210</v>
      </c>
      <c r="G3624" s="55" t="s">
        <v>306</v>
      </c>
      <c r="H3624" s="50" t="s">
        <v>6492</v>
      </c>
    </row>
    <row r="3625" spans="1:62" x14ac:dyDescent="0.2">
      <c r="C3625" s="195">
        <v>44805</v>
      </c>
      <c r="D3625" s="55">
        <v>260</v>
      </c>
      <c r="E3625" s="55" t="s">
        <v>6493</v>
      </c>
      <c r="F3625" s="55" t="s">
        <v>202</v>
      </c>
      <c r="G3625" s="55" t="s">
        <v>302</v>
      </c>
      <c r="H3625" s="50" t="s">
        <v>6494</v>
      </c>
    </row>
    <row r="3626" spans="1:62" x14ac:dyDescent="0.2">
      <c r="C3626" s="195">
        <v>44834</v>
      </c>
      <c r="D3626" s="55">
        <v>260</v>
      </c>
      <c r="E3626" s="55" t="s">
        <v>6495</v>
      </c>
      <c r="F3626" s="55" t="s">
        <v>272</v>
      </c>
      <c r="G3626" s="55" t="s">
        <v>273</v>
      </c>
      <c r="H3626" s="50" t="s">
        <v>6496</v>
      </c>
    </row>
    <row r="3627" spans="1:62" x14ac:dyDescent="0.2">
      <c r="C3627" s="195">
        <v>44819</v>
      </c>
      <c r="D3627" s="55">
        <v>260</v>
      </c>
      <c r="E3627" s="55" t="s">
        <v>6497</v>
      </c>
      <c r="F3627" s="55" t="s">
        <v>196</v>
      </c>
      <c r="G3627" s="55" t="s">
        <v>498</v>
      </c>
      <c r="H3627" s="50" t="s">
        <v>6498</v>
      </c>
    </row>
    <row r="3628" spans="1:62" x14ac:dyDescent="0.2">
      <c r="C3628" s="195">
        <v>44824</v>
      </c>
      <c r="D3628" s="55">
        <v>260</v>
      </c>
      <c r="E3628" s="55" t="s">
        <v>6499</v>
      </c>
      <c r="F3628" s="55" t="s">
        <v>192</v>
      </c>
      <c r="G3628" s="55" t="s">
        <v>487</v>
      </c>
      <c r="H3628" s="50" t="s">
        <v>6500</v>
      </c>
    </row>
    <row r="3629" spans="1:62" x14ac:dyDescent="0.2">
      <c r="C3629" s="195">
        <v>44816</v>
      </c>
      <c r="D3629" s="55">
        <v>260</v>
      </c>
      <c r="E3629" s="55" t="s">
        <v>6501</v>
      </c>
      <c r="F3629" s="55" t="s">
        <v>219</v>
      </c>
      <c r="G3629" s="55" t="s">
        <v>3710</v>
      </c>
      <c r="H3629" s="50" t="s">
        <v>6502</v>
      </c>
    </row>
    <row r="3630" spans="1:62" x14ac:dyDescent="0.2">
      <c r="C3630" s="195">
        <v>44816</v>
      </c>
      <c r="D3630" s="55">
        <v>260</v>
      </c>
      <c r="E3630" s="55" t="s">
        <v>6503</v>
      </c>
      <c r="F3630" s="55" t="s">
        <v>390</v>
      </c>
      <c r="G3630" s="55" t="s">
        <v>779</v>
      </c>
      <c r="H3630" s="50" t="s">
        <v>6504</v>
      </c>
    </row>
    <row r="3631" spans="1:62" x14ac:dyDescent="0.2">
      <c r="C3631" s="195">
        <v>44813</v>
      </c>
      <c r="D3631" s="55">
        <v>280</v>
      </c>
      <c r="E3631" s="55" t="s">
        <v>6505</v>
      </c>
      <c r="F3631" s="55" t="s">
        <v>196</v>
      </c>
      <c r="G3631" s="55" t="s">
        <v>349</v>
      </c>
      <c r="H3631" s="50" t="s">
        <v>6506</v>
      </c>
    </row>
    <row r="3632" spans="1:62" x14ac:dyDescent="0.2">
      <c r="C3632" s="195">
        <v>44832</v>
      </c>
      <c r="D3632" s="55">
        <v>280</v>
      </c>
      <c r="E3632" s="55" t="s">
        <v>6507</v>
      </c>
      <c r="F3632" s="55" t="s">
        <v>210</v>
      </c>
      <c r="G3632" s="55" t="s">
        <v>1572</v>
      </c>
      <c r="H3632" s="50" t="s">
        <v>6508</v>
      </c>
    </row>
    <row r="3633" spans="3:8" x14ac:dyDescent="0.2">
      <c r="C3633" s="195">
        <v>44826</v>
      </c>
      <c r="D3633" s="55">
        <v>280</v>
      </c>
      <c r="E3633" s="55" t="s">
        <v>6509</v>
      </c>
      <c r="F3633" s="55" t="s">
        <v>210</v>
      </c>
      <c r="G3633" s="55" t="s">
        <v>496</v>
      </c>
      <c r="H3633" s="50" t="s">
        <v>6510</v>
      </c>
    </row>
    <row r="3634" spans="3:8" x14ac:dyDescent="0.2">
      <c r="C3634" s="195">
        <v>44817</v>
      </c>
      <c r="D3634" s="55">
        <v>260</v>
      </c>
      <c r="E3634" s="55" t="s">
        <v>6511</v>
      </c>
      <c r="F3634" s="55" t="s">
        <v>210</v>
      </c>
      <c r="G3634" s="55" t="s">
        <v>306</v>
      </c>
      <c r="H3634" s="50" t="s">
        <v>6512</v>
      </c>
    </row>
    <row r="3635" spans="3:8" x14ac:dyDescent="0.2">
      <c r="C3635" s="195">
        <v>44832</v>
      </c>
      <c r="D3635" s="55">
        <v>260</v>
      </c>
      <c r="E3635" s="55" t="s">
        <v>6513</v>
      </c>
      <c r="F3635" s="55" t="s">
        <v>390</v>
      </c>
      <c r="G3635" s="55" t="s">
        <v>870</v>
      </c>
      <c r="H3635" s="50" t="s">
        <v>6514</v>
      </c>
    </row>
    <row r="3636" spans="3:8" x14ac:dyDescent="0.2">
      <c r="C3636" s="195">
        <v>44812</v>
      </c>
      <c r="D3636" s="55">
        <v>260</v>
      </c>
      <c r="E3636" s="55" t="s">
        <v>6515</v>
      </c>
      <c r="F3636" s="55" t="s">
        <v>202</v>
      </c>
      <c r="G3636" s="55" t="s">
        <v>302</v>
      </c>
      <c r="H3636" s="50" t="s">
        <v>224</v>
      </c>
    </row>
    <row r="3637" spans="3:8" x14ac:dyDescent="0.2">
      <c r="C3637" s="195">
        <v>44817</v>
      </c>
      <c r="D3637" s="55">
        <v>260</v>
      </c>
      <c r="E3637" s="55" t="s">
        <v>6516</v>
      </c>
      <c r="F3637" s="55" t="s">
        <v>210</v>
      </c>
      <c r="G3637" s="55" t="s">
        <v>1572</v>
      </c>
      <c r="H3637" s="50" t="s">
        <v>6517</v>
      </c>
    </row>
    <row r="3638" spans="3:8" x14ac:dyDescent="0.2">
      <c r="C3638" s="195">
        <v>44824</v>
      </c>
      <c r="D3638" s="55">
        <v>280</v>
      </c>
      <c r="E3638" s="55" t="s">
        <v>6518</v>
      </c>
      <c r="F3638" s="55" t="s">
        <v>196</v>
      </c>
      <c r="G3638" s="55" t="s">
        <v>352</v>
      </c>
      <c r="H3638" s="50" t="s">
        <v>6519</v>
      </c>
    </row>
    <row r="3639" spans="3:8" x14ac:dyDescent="0.2">
      <c r="C3639" s="195">
        <v>44831</v>
      </c>
      <c r="D3639" s="55">
        <v>260</v>
      </c>
      <c r="E3639" s="55" t="s">
        <v>6520</v>
      </c>
      <c r="F3639" s="55" t="s">
        <v>192</v>
      </c>
      <c r="G3639" s="55" t="s">
        <v>663</v>
      </c>
      <c r="H3639" s="50" t="s">
        <v>224</v>
      </c>
    </row>
    <row r="3640" spans="3:8" x14ac:dyDescent="0.2">
      <c r="C3640" s="195">
        <v>44805</v>
      </c>
      <c r="D3640" s="55">
        <v>280</v>
      </c>
      <c r="E3640" s="55" t="s">
        <v>6521</v>
      </c>
      <c r="F3640" s="55" t="s">
        <v>272</v>
      </c>
      <c r="G3640" s="55" t="s">
        <v>683</v>
      </c>
      <c r="H3640" s="50" t="s">
        <v>6522</v>
      </c>
    </row>
    <row r="3641" spans="3:8" x14ac:dyDescent="0.2">
      <c r="C3641" s="195">
        <v>44806</v>
      </c>
      <c r="D3641" s="55">
        <v>280</v>
      </c>
      <c r="E3641" s="55" t="s">
        <v>6523</v>
      </c>
      <c r="F3641" s="55" t="s">
        <v>202</v>
      </c>
      <c r="G3641" s="55" t="s">
        <v>2033</v>
      </c>
      <c r="H3641" s="50" t="s">
        <v>6524</v>
      </c>
    </row>
    <row r="3642" spans="3:8" x14ac:dyDescent="0.2">
      <c r="C3642" s="195">
        <v>44826</v>
      </c>
      <c r="D3642" s="55">
        <v>280</v>
      </c>
      <c r="E3642" s="55" t="s">
        <v>6525</v>
      </c>
      <c r="F3642" s="55" t="s">
        <v>202</v>
      </c>
      <c r="G3642" s="55" t="s">
        <v>2033</v>
      </c>
      <c r="H3642" s="50" t="s">
        <v>6526</v>
      </c>
    </row>
    <row r="3643" spans="3:8" x14ac:dyDescent="0.2">
      <c r="C3643" s="195">
        <v>44818</v>
      </c>
      <c r="D3643" s="55">
        <v>260</v>
      </c>
      <c r="E3643" s="55" t="s">
        <v>6527</v>
      </c>
      <c r="F3643" s="55" t="s">
        <v>231</v>
      </c>
      <c r="G3643" s="55" t="s">
        <v>648</v>
      </c>
      <c r="H3643" s="50" t="s">
        <v>6528</v>
      </c>
    </row>
    <row r="3644" spans="3:8" x14ac:dyDescent="0.2">
      <c r="C3644" s="195">
        <v>44820</v>
      </c>
      <c r="D3644" s="55">
        <v>280</v>
      </c>
      <c r="E3644" s="55" t="s">
        <v>6529</v>
      </c>
      <c r="F3644" s="55" t="s">
        <v>202</v>
      </c>
      <c r="G3644" s="55" t="s">
        <v>344</v>
      </c>
    </row>
    <row r="3645" spans="3:8" x14ac:dyDescent="0.2">
      <c r="C3645" s="195">
        <v>44832</v>
      </c>
      <c r="D3645" s="55">
        <v>260</v>
      </c>
      <c r="E3645" s="55" t="s">
        <v>6530</v>
      </c>
      <c r="F3645" s="55" t="s">
        <v>231</v>
      </c>
      <c r="G3645" s="55" t="s">
        <v>232</v>
      </c>
      <c r="H3645" s="50" t="s">
        <v>6531</v>
      </c>
    </row>
    <row r="3646" spans="3:8" x14ac:dyDescent="0.2">
      <c r="C3646" s="195">
        <v>44813</v>
      </c>
      <c r="D3646" s="55">
        <v>260</v>
      </c>
      <c r="E3646" s="55" t="s">
        <v>6532</v>
      </c>
      <c r="F3646" s="55" t="s">
        <v>202</v>
      </c>
      <c r="G3646" s="55" t="s">
        <v>297</v>
      </c>
      <c r="H3646" s="50" t="s">
        <v>6533</v>
      </c>
    </row>
    <row r="3647" spans="3:8" x14ac:dyDescent="0.2">
      <c r="C3647" s="195">
        <v>44816</v>
      </c>
      <c r="D3647" s="55">
        <v>260</v>
      </c>
      <c r="E3647" s="55" t="s">
        <v>6534</v>
      </c>
      <c r="F3647" s="55" t="s">
        <v>244</v>
      </c>
      <c r="G3647" s="55" t="s">
        <v>260</v>
      </c>
      <c r="H3647" s="50" t="s">
        <v>6535</v>
      </c>
    </row>
    <row r="3648" spans="3:8" x14ac:dyDescent="0.2">
      <c r="C3648" s="195">
        <v>44834</v>
      </c>
      <c r="D3648" s="55">
        <v>280</v>
      </c>
      <c r="E3648" s="55" t="s">
        <v>6536</v>
      </c>
      <c r="F3648" s="55" t="s">
        <v>196</v>
      </c>
      <c r="G3648" s="55" t="s">
        <v>352</v>
      </c>
      <c r="H3648" s="50" t="s">
        <v>6537</v>
      </c>
    </row>
    <row r="3649" spans="1:62" x14ac:dyDescent="0.2">
      <c r="C3649" s="195">
        <v>44825</v>
      </c>
      <c r="D3649" s="55">
        <v>260</v>
      </c>
      <c r="E3649" s="55" t="s">
        <v>6538</v>
      </c>
      <c r="F3649" s="55" t="s">
        <v>231</v>
      </c>
      <c r="G3649" s="55" t="s">
        <v>421</v>
      </c>
      <c r="H3649" s="50" t="s">
        <v>6539</v>
      </c>
    </row>
    <row r="3650" spans="1:62" x14ac:dyDescent="0.2">
      <c r="C3650" s="195">
        <v>44825</v>
      </c>
      <c r="D3650" s="55">
        <v>260</v>
      </c>
      <c r="E3650" s="55" t="s">
        <v>6540</v>
      </c>
      <c r="F3650" s="55" t="s">
        <v>210</v>
      </c>
      <c r="G3650" s="55" t="s">
        <v>883</v>
      </c>
      <c r="H3650" s="50" t="s">
        <v>6541</v>
      </c>
    </row>
    <row r="3651" spans="1:62" x14ac:dyDescent="0.2">
      <c r="C3651" s="195">
        <v>44813</v>
      </c>
      <c r="D3651" s="55">
        <v>260</v>
      </c>
      <c r="E3651" s="55" t="s">
        <v>6542</v>
      </c>
      <c r="F3651" s="55" t="s">
        <v>219</v>
      </c>
      <c r="G3651" s="55" t="s">
        <v>540</v>
      </c>
      <c r="H3651" s="50" t="s">
        <v>6543</v>
      </c>
    </row>
    <row r="3652" spans="1:62" x14ac:dyDescent="0.2">
      <c r="C3652" s="195">
        <v>44820</v>
      </c>
      <c r="D3652" s="55">
        <v>260</v>
      </c>
      <c r="E3652" s="55" t="s">
        <v>6544</v>
      </c>
      <c r="F3652" s="55" t="s">
        <v>196</v>
      </c>
      <c r="G3652" s="55" t="s">
        <v>352</v>
      </c>
      <c r="H3652" s="50" t="s">
        <v>6545</v>
      </c>
    </row>
    <row r="3653" spans="1:62" x14ac:dyDescent="0.2">
      <c r="C3653" s="195">
        <v>44832</v>
      </c>
      <c r="D3653" s="55">
        <v>260</v>
      </c>
      <c r="E3653" s="55" t="s">
        <v>6546</v>
      </c>
      <c r="F3653" s="55" t="s">
        <v>390</v>
      </c>
      <c r="G3653" s="55" t="s">
        <v>671</v>
      </c>
      <c r="H3653" s="50" t="s">
        <v>6547</v>
      </c>
    </row>
    <row r="3654" spans="1:62" x14ac:dyDescent="0.2">
      <c r="C3654" s="195">
        <v>44813</v>
      </c>
      <c r="D3654" s="55">
        <v>280</v>
      </c>
      <c r="E3654" s="55" t="s">
        <v>6548</v>
      </c>
      <c r="F3654" s="55" t="s">
        <v>291</v>
      </c>
      <c r="G3654" s="55" t="s">
        <v>2723</v>
      </c>
      <c r="H3654" s="50" t="s">
        <v>6549</v>
      </c>
    </row>
    <row r="3655" spans="1:62" x14ac:dyDescent="0.2">
      <c r="C3655" s="195">
        <v>44805</v>
      </c>
      <c r="D3655" s="55">
        <v>260</v>
      </c>
      <c r="E3655" s="55" t="s">
        <v>6550</v>
      </c>
      <c r="F3655" s="55" t="s">
        <v>390</v>
      </c>
      <c r="G3655" s="55" t="s">
        <v>779</v>
      </c>
      <c r="H3655" s="50" t="s">
        <v>6551</v>
      </c>
    </row>
    <row r="3656" spans="1:62" x14ac:dyDescent="0.2">
      <c r="C3656" s="195">
        <v>44817</v>
      </c>
      <c r="D3656" s="55">
        <v>280</v>
      </c>
      <c r="E3656" s="55" t="s">
        <v>6552</v>
      </c>
      <c r="F3656" s="55" t="s">
        <v>196</v>
      </c>
      <c r="G3656" s="55" t="s">
        <v>352</v>
      </c>
      <c r="H3656" s="50" t="s">
        <v>6553</v>
      </c>
    </row>
    <row r="3657" spans="1:62" x14ac:dyDescent="0.2">
      <c r="C3657" s="195">
        <v>44813</v>
      </c>
      <c r="D3657" s="55">
        <v>280</v>
      </c>
      <c r="E3657" s="55" t="s">
        <v>6554</v>
      </c>
      <c r="F3657" s="55" t="s">
        <v>210</v>
      </c>
      <c r="G3657" s="55" t="s">
        <v>306</v>
      </c>
      <c r="H3657" s="50" t="s">
        <v>6555</v>
      </c>
    </row>
    <row r="3658" spans="1:62" x14ac:dyDescent="0.2">
      <c r="C3658" s="195">
        <v>44834</v>
      </c>
      <c r="D3658" s="55">
        <v>260</v>
      </c>
      <c r="E3658" s="55" t="s">
        <v>6556</v>
      </c>
      <c r="F3658" s="55" t="s">
        <v>272</v>
      </c>
      <c r="G3658" s="55" t="s">
        <v>3408</v>
      </c>
      <c r="H3658" s="50" t="s">
        <v>6557</v>
      </c>
    </row>
    <row r="3659" spans="1:62" x14ac:dyDescent="0.2">
      <c r="C3659" s="195">
        <v>44820</v>
      </c>
      <c r="D3659" s="55">
        <v>260</v>
      </c>
      <c r="E3659" s="55" t="s">
        <v>6558</v>
      </c>
      <c r="F3659" s="55" t="s">
        <v>267</v>
      </c>
      <c r="G3659" s="55" t="s">
        <v>1109</v>
      </c>
      <c r="H3659" s="50" t="s">
        <v>6559</v>
      </c>
    </row>
    <row r="3660" spans="1:62" x14ac:dyDescent="0.2">
      <c r="C3660" s="195">
        <v>44817</v>
      </c>
      <c r="D3660" s="55">
        <v>260</v>
      </c>
      <c r="E3660" s="55" t="s">
        <v>6560</v>
      </c>
      <c r="F3660" s="55" t="s">
        <v>210</v>
      </c>
      <c r="G3660" s="55" t="s">
        <v>883</v>
      </c>
      <c r="H3660" s="50" t="s">
        <v>6561</v>
      </c>
    </row>
    <row r="3661" spans="1:62" x14ac:dyDescent="0.2">
      <c r="A3661" s="57">
        <v>922</v>
      </c>
      <c r="B3661" t="s">
        <v>836</v>
      </c>
      <c r="C3661" s="195">
        <v>44834</v>
      </c>
      <c r="D3661" s="55">
        <v>260</v>
      </c>
      <c r="E3661" s="55" t="s">
        <v>6562</v>
      </c>
      <c r="F3661" s="55" t="s">
        <v>390</v>
      </c>
      <c r="G3661" s="55" t="s">
        <v>922</v>
      </c>
      <c r="H3661" s="50" t="s">
        <v>224</v>
      </c>
      <c r="I3661" s="46" t="s">
        <v>839</v>
      </c>
      <c r="J3661" s="52">
        <v>1</v>
      </c>
      <c r="K3661" s="52">
        <v>2</v>
      </c>
      <c r="O3661" s="1">
        <v>1</v>
      </c>
      <c r="S3661" s="1">
        <v>1</v>
      </c>
      <c r="W3661" s="1">
        <v>1</v>
      </c>
      <c r="AA3661" s="1">
        <v>1</v>
      </c>
      <c r="AG3661">
        <v>1</v>
      </c>
      <c r="AM3661">
        <v>1</v>
      </c>
      <c r="AN3661">
        <v>1</v>
      </c>
      <c r="AO3661">
        <v>1</v>
      </c>
      <c r="AP3661">
        <v>3</v>
      </c>
      <c r="AQ3661">
        <v>2</v>
      </c>
      <c r="AR3661">
        <v>3</v>
      </c>
      <c r="AS3661">
        <v>1</v>
      </c>
      <c r="AT3661">
        <v>1</v>
      </c>
      <c r="AU3661">
        <v>1</v>
      </c>
      <c r="AZ3661">
        <v>1</v>
      </c>
      <c r="BA3661">
        <v>1</v>
      </c>
      <c r="BB3661">
        <v>1</v>
      </c>
      <c r="BC3661">
        <v>1</v>
      </c>
      <c r="BD3661">
        <v>1</v>
      </c>
      <c r="BE3661">
        <v>1</v>
      </c>
      <c r="BJ3661">
        <v>1</v>
      </c>
    </row>
    <row r="3662" spans="1:62" x14ac:dyDescent="0.2">
      <c r="C3662" s="195">
        <v>44830</v>
      </c>
      <c r="D3662" s="55">
        <v>280</v>
      </c>
      <c r="E3662" s="55" t="s">
        <v>6563</v>
      </c>
      <c r="F3662" s="55" t="s">
        <v>267</v>
      </c>
      <c r="G3662" s="55" t="s">
        <v>268</v>
      </c>
      <c r="H3662" s="50" t="s">
        <v>6564</v>
      </c>
    </row>
    <row r="3663" spans="1:62" x14ac:dyDescent="0.2">
      <c r="C3663" s="195">
        <v>44818</v>
      </c>
      <c r="D3663" s="55">
        <v>280</v>
      </c>
      <c r="E3663" s="55" t="s">
        <v>6565</v>
      </c>
      <c r="F3663" s="55" t="s">
        <v>219</v>
      </c>
      <c r="G3663" s="55" t="s">
        <v>223</v>
      </c>
      <c r="H3663" s="50" t="s">
        <v>224</v>
      </c>
    </row>
    <row r="3664" spans="1:62" x14ac:dyDescent="0.2">
      <c r="C3664" s="195">
        <v>44805</v>
      </c>
      <c r="D3664" s="55">
        <v>260</v>
      </c>
      <c r="E3664" s="55" t="s">
        <v>6566</v>
      </c>
      <c r="F3664" s="55" t="s">
        <v>231</v>
      </c>
      <c r="G3664" s="55" t="s">
        <v>232</v>
      </c>
      <c r="H3664" s="50" t="s">
        <v>224</v>
      </c>
    </row>
    <row r="3665" spans="1:62" x14ac:dyDescent="0.2">
      <c r="C3665" s="195">
        <v>44817</v>
      </c>
      <c r="D3665" s="55">
        <v>260</v>
      </c>
      <c r="E3665" s="55" t="s">
        <v>6567</v>
      </c>
      <c r="F3665" s="55" t="s">
        <v>210</v>
      </c>
      <c r="G3665" s="55" t="s">
        <v>1572</v>
      </c>
      <c r="H3665" s="50" t="s">
        <v>6568</v>
      </c>
    </row>
    <row r="3666" spans="1:62" x14ac:dyDescent="0.2">
      <c r="C3666" s="195">
        <v>44830</v>
      </c>
      <c r="D3666" s="55">
        <v>260</v>
      </c>
      <c r="E3666" s="55" t="s">
        <v>6569</v>
      </c>
      <c r="F3666" s="55" t="s">
        <v>231</v>
      </c>
      <c r="G3666" s="55" t="s">
        <v>232</v>
      </c>
      <c r="H3666" s="50" t="s">
        <v>6570</v>
      </c>
    </row>
    <row r="3667" spans="1:62" x14ac:dyDescent="0.2">
      <c r="C3667" s="195">
        <v>44817</v>
      </c>
      <c r="D3667" s="55">
        <v>280</v>
      </c>
      <c r="E3667" s="55" t="s">
        <v>6571</v>
      </c>
      <c r="F3667" s="55" t="s">
        <v>219</v>
      </c>
      <c r="G3667" s="55" t="s">
        <v>1732</v>
      </c>
      <c r="H3667" s="50" t="s">
        <v>6572</v>
      </c>
    </row>
    <row r="3668" spans="1:62" x14ac:dyDescent="0.2">
      <c r="C3668" s="195">
        <v>44832</v>
      </c>
      <c r="D3668" s="55">
        <v>260</v>
      </c>
      <c r="E3668" s="55" t="s">
        <v>6573</v>
      </c>
      <c r="F3668" s="55" t="s">
        <v>202</v>
      </c>
      <c r="G3668" s="55" t="s">
        <v>302</v>
      </c>
      <c r="H3668" s="50" t="s">
        <v>6574</v>
      </c>
    </row>
    <row r="3669" spans="1:62" x14ac:dyDescent="0.2">
      <c r="C3669" s="195">
        <v>44806</v>
      </c>
      <c r="D3669" s="55">
        <v>260</v>
      </c>
      <c r="E3669" s="55" t="s">
        <v>6575</v>
      </c>
      <c r="F3669" s="55" t="s">
        <v>202</v>
      </c>
      <c r="G3669" s="55" t="s">
        <v>297</v>
      </c>
      <c r="H3669" s="50" t="s">
        <v>6576</v>
      </c>
    </row>
    <row r="3670" spans="1:62" x14ac:dyDescent="0.2">
      <c r="C3670" s="195">
        <v>44831</v>
      </c>
      <c r="D3670" s="55">
        <v>260</v>
      </c>
      <c r="E3670" s="55" t="s">
        <v>6577</v>
      </c>
      <c r="F3670" s="55" t="s">
        <v>390</v>
      </c>
      <c r="G3670" s="55" t="s">
        <v>779</v>
      </c>
      <c r="H3670" s="50" t="s">
        <v>6578</v>
      </c>
    </row>
    <row r="3671" spans="1:62" x14ac:dyDescent="0.2">
      <c r="C3671" s="195">
        <v>44818</v>
      </c>
      <c r="D3671" s="55">
        <v>280</v>
      </c>
      <c r="E3671" s="55" t="s">
        <v>6579</v>
      </c>
      <c r="F3671" s="55" t="s">
        <v>263</v>
      </c>
      <c r="G3671" s="55" t="s">
        <v>3747</v>
      </c>
      <c r="H3671" s="50" t="s">
        <v>6580</v>
      </c>
    </row>
    <row r="3672" spans="1:62" x14ac:dyDescent="0.2">
      <c r="C3672" s="195">
        <v>44833</v>
      </c>
      <c r="D3672" s="55">
        <v>260</v>
      </c>
      <c r="E3672" s="55" t="s">
        <v>6581</v>
      </c>
      <c r="F3672" s="55" t="s">
        <v>390</v>
      </c>
      <c r="G3672" s="55" t="s">
        <v>590</v>
      </c>
      <c r="H3672" s="50" t="s">
        <v>6582</v>
      </c>
    </row>
    <row r="3673" spans="1:62" x14ac:dyDescent="0.2">
      <c r="C3673" s="195">
        <v>44805</v>
      </c>
      <c r="D3673" s="55">
        <v>280</v>
      </c>
      <c r="E3673" s="55" t="s">
        <v>6583</v>
      </c>
      <c r="F3673" s="55" t="s">
        <v>263</v>
      </c>
      <c r="G3673" s="55" t="s">
        <v>1005</v>
      </c>
      <c r="H3673" s="50" t="s">
        <v>6584</v>
      </c>
    </row>
    <row r="3674" spans="1:62" x14ac:dyDescent="0.2">
      <c r="C3674" s="195">
        <v>44820</v>
      </c>
      <c r="D3674" s="55">
        <v>260</v>
      </c>
      <c r="E3674" s="55" t="s">
        <v>6585</v>
      </c>
      <c r="F3674" s="55" t="s">
        <v>196</v>
      </c>
      <c r="G3674" s="55" t="s">
        <v>352</v>
      </c>
      <c r="H3674" s="50" t="s">
        <v>6586</v>
      </c>
    </row>
    <row r="3675" spans="1:62" x14ac:dyDescent="0.2">
      <c r="A3675" s="57">
        <v>922</v>
      </c>
      <c r="B3675" t="s">
        <v>836</v>
      </c>
      <c r="C3675" s="195">
        <v>44832</v>
      </c>
      <c r="D3675" s="55">
        <v>260</v>
      </c>
      <c r="E3675" s="55" t="s">
        <v>6587</v>
      </c>
      <c r="F3675" s="55" t="s">
        <v>263</v>
      </c>
      <c r="G3675" s="55" t="s">
        <v>426</v>
      </c>
      <c r="H3675" s="50" t="s">
        <v>224</v>
      </c>
      <c r="I3675" s="46" t="s">
        <v>837</v>
      </c>
    </row>
    <row r="3676" spans="1:62" x14ac:dyDescent="0.2">
      <c r="C3676" s="195">
        <v>44824</v>
      </c>
      <c r="D3676" s="55">
        <v>260</v>
      </c>
      <c r="E3676" s="55" t="s">
        <v>6588</v>
      </c>
      <c r="F3676" s="55" t="s">
        <v>231</v>
      </c>
      <c r="G3676" s="55" t="s">
        <v>782</v>
      </c>
      <c r="H3676" s="50" t="s">
        <v>6589</v>
      </c>
    </row>
    <row r="3677" spans="1:62" x14ac:dyDescent="0.2">
      <c r="A3677" s="57">
        <v>922</v>
      </c>
      <c r="B3677" t="s">
        <v>836</v>
      </c>
      <c r="C3677" s="195">
        <v>44825</v>
      </c>
      <c r="D3677" s="55">
        <v>260</v>
      </c>
      <c r="E3677" s="55" t="s">
        <v>6590</v>
      </c>
      <c r="F3677" s="55" t="s">
        <v>231</v>
      </c>
      <c r="G3677" s="55" t="s">
        <v>435</v>
      </c>
      <c r="H3677" s="50" t="s">
        <v>224</v>
      </c>
      <c r="I3677" s="46" t="s">
        <v>839</v>
      </c>
      <c r="J3677" s="52">
        <v>1</v>
      </c>
      <c r="K3677" s="52">
        <v>1</v>
      </c>
      <c r="O3677" s="1">
        <v>1</v>
      </c>
      <c r="S3677" s="1">
        <v>5</v>
      </c>
      <c r="W3677" s="1">
        <v>5</v>
      </c>
      <c r="AA3677" s="1">
        <v>5</v>
      </c>
      <c r="AG3677">
        <v>5</v>
      </c>
      <c r="AM3677">
        <v>5</v>
      </c>
      <c r="AS3677">
        <v>5</v>
      </c>
      <c r="AT3677">
        <v>5</v>
      </c>
      <c r="AU3677">
        <v>5</v>
      </c>
      <c r="AZ3677">
        <v>5</v>
      </c>
      <c r="BA3677">
        <v>4</v>
      </c>
      <c r="BB3677">
        <v>4</v>
      </c>
      <c r="BC3677">
        <v>4</v>
      </c>
      <c r="BD3677">
        <v>4</v>
      </c>
      <c r="BE3677">
        <v>5</v>
      </c>
      <c r="BJ3677">
        <v>1</v>
      </c>
    </row>
    <row r="3678" spans="1:62" x14ac:dyDescent="0.2">
      <c r="A3678" s="57">
        <v>922</v>
      </c>
      <c r="B3678" t="s">
        <v>836</v>
      </c>
      <c r="C3678" s="195">
        <v>44826</v>
      </c>
      <c r="D3678" s="55">
        <v>260</v>
      </c>
      <c r="E3678" s="55" t="s">
        <v>6591</v>
      </c>
      <c r="F3678" s="55" t="s">
        <v>267</v>
      </c>
      <c r="G3678" s="55" t="s">
        <v>442</v>
      </c>
      <c r="H3678" s="50" t="s">
        <v>224</v>
      </c>
      <c r="I3678" s="46" t="s">
        <v>839</v>
      </c>
      <c r="J3678" s="52">
        <v>1</v>
      </c>
      <c r="K3678" s="52">
        <v>1</v>
      </c>
      <c r="O3678" s="1">
        <v>1</v>
      </c>
      <c r="S3678" s="1">
        <v>1</v>
      </c>
      <c r="W3678" s="1">
        <v>1</v>
      </c>
      <c r="AA3678" s="1">
        <v>1</v>
      </c>
      <c r="AG3678">
        <v>1</v>
      </c>
      <c r="AM3678">
        <v>4</v>
      </c>
      <c r="AS3678">
        <v>4</v>
      </c>
      <c r="AT3678">
        <v>1</v>
      </c>
      <c r="AU3678">
        <v>1</v>
      </c>
      <c r="AZ3678">
        <v>1</v>
      </c>
      <c r="BA3678">
        <v>1</v>
      </c>
      <c r="BB3678">
        <v>1</v>
      </c>
      <c r="BC3678">
        <v>1</v>
      </c>
      <c r="BD3678">
        <v>1</v>
      </c>
      <c r="BE3678">
        <v>1</v>
      </c>
      <c r="BJ3678">
        <v>1</v>
      </c>
    </row>
    <row r="3679" spans="1:62" x14ac:dyDescent="0.2">
      <c r="C3679" s="195">
        <v>44823</v>
      </c>
      <c r="D3679" s="55">
        <v>260</v>
      </c>
      <c r="E3679" s="55" t="s">
        <v>6592</v>
      </c>
      <c r="F3679" s="55" t="s">
        <v>202</v>
      </c>
      <c r="G3679" s="55" t="s">
        <v>2033</v>
      </c>
      <c r="H3679" s="50" t="s">
        <v>6593</v>
      </c>
    </row>
    <row r="3680" spans="1:62" x14ac:dyDescent="0.2">
      <c r="C3680" s="195">
        <v>44819</v>
      </c>
      <c r="D3680" s="55">
        <v>260</v>
      </c>
      <c r="E3680" s="55" t="s">
        <v>6594</v>
      </c>
      <c r="F3680" s="55" t="s">
        <v>263</v>
      </c>
      <c r="G3680" s="55" t="s">
        <v>426</v>
      </c>
      <c r="H3680" s="50" t="s">
        <v>6595</v>
      </c>
    </row>
    <row r="3681" spans="1:9" x14ac:dyDescent="0.2">
      <c r="C3681" s="195">
        <v>44824</v>
      </c>
      <c r="D3681" s="55">
        <v>260</v>
      </c>
      <c r="E3681" s="55" t="s">
        <v>6596</v>
      </c>
      <c r="F3681" s="55" t="s">
        <v>206</v>
      </c>
      <c r="G3681" s="55" t="s">
        <v>548</v>
      </c>
      <c r="H3681" s="50" t="s">
        <v>6597</v>
      </c>
    </row>
    <row r="3682" spans="1:9" x14ac:dyDescent="0.2">
      <c r="C3682" s="195">
        <v>44817</v>
      </c>
      <c r="D3682" s="55">
        <v>260</v>
      </c>
      <c r="E3682" s="55" t="s">
        <v>6598</v>
      </c>
      <c r="F3682" s="55" t="s">
        <v>390</v>
      </c>
      <c r="G3682" s="55" t="s">
        <v>870</v>
      </c>
      <c r="H3682" s="50" t="s">
        <v>6599</v>
      </c>
    </row>
    <row r="3683" spans="1:9" x14ac:dyDescent="0.2">
      <c r="C3683" s="195">
        <v>44830</v>
      </c>
      <c r="D3683" s="55">
        <v>280</v>
      </c>
      <c r="E3683" s="55" t="s">
        <v>6600</v>
      </c>
      <c r="F3683" s="55" t="s">
        <v>196</v>
      </c>
      <c r="G3683" s="55" t="s">
        <v>197</v>
      </c>
      <c r="H3683" s="50" t="s">
        <v>6601</v>
      </c>
    </row>
    <row r="3684" spans="1:9" x14ac:dyDescent="0.2">
      <c r="C3684" s="195">
        <v>44813</v>
      </c>
      <c r="D3684" s="55">
        <v>260</v>
      </c>
      <c r="E3684" s="55" t="s">
        <v>6602</v>
      </c>
      <c r="F3684" s="55" t="s">
        <v>210</v>
      </c>
      <c r="G3684" s="55" t="s">
        <v>883</v>
      </c>
      <c r="H3684" s="50" t="s">
        <v>6603</v>
      </c>
    </row>
    <row r="3685" spans="1:9" x14ac:dyDescent="0.2">
      <c r="C3685" s="195">
        <v>44825</v>
      </c>
      <c r="D3685" s="55">
        <v>280</v>
      </c>
      <c r="E3685" s="55" t="s">
        <v>6604</v>
      </c>
      <c r="F3685" s="55" t="s">
        <v>263</v>
      </c>
      <c r="G3685" s="55" t="s">
        <v>3242</v>
      </c>
      <c r="H3685" s="50" t="s">
        <v>6605</v>
      </c>
    </row>
    <row r="3686" spans="1:9" x14ac:dyDescent="0.2">
      <c r="C3686" s="195">
        <v>44824</v>
      </c>
      <c r="D3686" s="55">
        <v>280</v>
      </c>
      <c r="E3686" s="55" t="s">
        <v>6606</v>
      </c>
      <c r="F3686" s="55" t="s">
        <v>263</v>
      </c>
      <c r="G3686" s="55" t="s">
        <v>1360</v>
      </c>
      <c r="H3686" s="50" t="s">
        <v>6607</v>
      </c>
    </row>
    <row r="3687" spans="1:9" x14ac:dyDescent="0.2">
      <c r="C3687" s="195">
        <v>44832</v>
      </c>
      <c r="D3687" s="55">
        <v>280</v>
      </c>
      <c r="E3687" s="55" t="s">
        <v>6608</v>
      </c>
      <c r="F3687" s="55" t="s">
        <v>192</v>
      </c>
      <c r="G3687" s="55" t="s">
        <v>640</v>
      </c>
      <c r="H3687" s="50" t="s">
        <v>224</v>
      </c>
    </row>
    <row r="3688" spans="1:9" x14ac:dyDescent="0.2">
      <c r="C3688" s="195">
        <v>44811</v>
      </c>
      <c r="D3688" s="55">
        <v>280</v>
      </c>
      <c r="E3688" s="55" t="s">
        <v>6609</v>
      </c>
      <c r="F3688" s="55" t="s">
        <v>263</v>
      </c>
      <c r="G3688" s="55" t="s">
        <v>413</v>
      </c>
      <c r="H3688" s="50" t="s">
        <v>6610</v>
      </c>
    </row>
    <row r="3689" spans="1:9" x14ac:dyDescent="0.2">
      <c r="C3689" s="195">
        <v>44833</v>
      </c>
      <c r="D3689" s="55">
        <v>260</v>
      </c>
      <c r="E3689" s="55" t="s">
        <v>6611</v>
      </c>
      <c r="F3689" s="55" t="s">
        <v>202</v>
      </c>
      <c r="G3689" s="55" t="s">
        <v>1146</v>
      </c>
      <c r="H3689" s="50" t="s">
        <v>6612</v>
      </c>
    </row>
    <row r="3690" spans="1:9" x14ac:dyDescent="0.2">
      <c r="C3690" s="195">
        <v>44817</v>
      </c>
      <c r="D3690" s="55">
        <v>260</v>
      </c>
      <c r="E3690" s="55" t="s">
        <v>6613</v>
      </c>
      <c r="F3690" s="55" t="s">
        <v>210</v>
      </c>
      <c r="G3690" s="55" t="s">
        <v>496</v>
      </c>
      <c r="H3690" s="50" t="s">
        <v>6614</v>
      </c>
    </row>
    <row r="3691" spans="1:9" x14ac:dyDescent="0.2">
      <c r="C3691" s="195">
        <v>44812</v>
      </c>
      <c r="D3691" s="55">
        <v>260</v>
      </c>
      <c r="E3691" s="55" t="s">
        <v>6615</v>
      </c>
      <c r="F3691" s="55" t="s">
        <v>231</v>
      </c>
      <c r="G3691" s="55" t="s">
        <v>435</v>
      </c>
      <c r="H3691" s="50" t="s">
        <v>3398</v>
      </c>
    </row>
    <row r="3692" spans="1:9" x14ac:dyDescent="0.2">
      <c r="C3692" s="195">
        <v>44820</v>
      </c>
      <c r="D3692" s="55">
        <v>260</v>
      </c>
      <c r="E3692" s="55" t="s">
        <v>6616</v>
      </c>
      <c r="F3692" s="55" t="s">
        <v>390</v>
      </c>
      <c r="G3692" s="55" t="s">
        <v>391</v>
      </c>
      <c r="H3692" s="50" t="s">
        <v>6617</v>
      </c>
    </row>
    <row r="3693" spans="1:9" x14ac:dyDescent="0.2">
      <c r="C3693" s="195">
        <v>44806</v>
      </c>
      <c r="D3693" s="55">
        <v>260</v>
      </c>
      <c r="E3693" s="55" t="s">
        <v>6618</v>
      </c>
      <c r="F3693" s="55" t="s">
        <v>202</v>
      </c>
      <c r="G3693" s="55" t="s">
        <v>203</v>
      </c>
      <c r="H3693" s="50" t="s">
        <v>6619</v>
      </c>
    </row>
    <row r="3694" spans="1:9" x14ac:dyDescent="0.2">
      <c r="C3694" s="195">
        <v>44833</v>
      </c>
      <c r="D3694" s="55">
        <v>260</v>
      </c>
      <c r="E3694" s="55" t="s">
        <v>6620</v>
      </c>
      <c r="F3694" s="55" t="s">
        <v>390</v>
      </c>
      <c r="G3694" s="55" t="s">
        <v>590</v>
      </c>
      <c r="H3694" s="50" t="s">
        <v>6621</v>
      </c>
    </row>
    <row r="3695" spans="1:9" x14ac:dyDescent="0.2">
      <c r="C3695" s="195">
        <v>44832</v>
      </c>
      <c r="D3695" s="55">
        <v>280</v>
      </c>
      <c r="E3695" s="55" t="s">
        <v>6622</v>
      </c>
      <c r="F3695" s="55" t="s">
        <v>231</v>
      </c>
      <c r="G3695" s="55" t="s">
        <v>435</v>
      </c>
      <c r="H3695" s="50" t="s">
        <v>6623</v>
      </c>
    </row>
    <row r="3696" spans="1:9" x14ac:dyDescent="0.2">
      <c r="A3696" s="57">
        <v>922</v>
      </c>
      <c r="B3696" t="s">
        <v>836</v>
      </c>
      <c r="C3696" s="195">
        <v>44823</v>
      </c>
      <c r="D3696" s="55">
        <v>280</v>
      </c>
      <c r="E3696" s="55" t="s">
        <v>6624</v>
      </c>
      <c r="F3696" s="55" t="s">
        <v>231</v>
      </c>
      <c r="G3696" s="55" t="s">
        <v>435</v>
      </c>
      <c r="H3696" s="50" t="s">
        <v>224</v>
      </c>
      <c r="I3696" s="46" t="s">
        <v>837</v>
      </c>
    </row>
    <row r="3697" spans="3:8" x14ac:dyDescent="0.2">
      <c r="C3697" s="195">
        <v>44817</v>
      </c>
      <c r="D3697" s="55">
        <v>260</v>
      </c>
      <c r="E3697" s="55" t="s">
        <v>6625</v>
      </c>
      <c r="F3697" s="55" t="s">
        <v>231</v>
      </c>
      <c r="G3697" s="55" t="s">
        <v>421</v>
      </c>
      <c r="H3697" s="50" t="s">
        <v>6626</v>
      </c>
    </row>
    <row r="3698" spans="3:8" x14ac:dyDescent="0.2">
      <c r="C3698" s="195">
        <v>44818</v>
      </c>
      <c r="D3698" s="55">
        <v>260</v>
      </c>
      <c r="E3698" s="55" t="s">
        <v>6627</v>
      </c>
      <c r="F3698" s="55" t="s">
        <v>210</v>
      </c>
      <c r="G3698" s="55" t="s">
        <v>883</v>
      </c>
      <c r="H3698" s="50" t="s">
        <v>6628</v>
      </c>
    </row>
    <row r="3699" spans="3:8" x14ac:dyDescent="0.2">
      <c r="C3699" s="195">
        <v>44818</v>
      </c>
      <c r="D3699" s="55">
        <v>260</v>
      </c>
      <c r="E3699" s="55" t="s">
        <v>6629</v>
      </c>
      <c r="F3699" s="55" t="s">
        <v>244</v>
      </c>
      <c r="G3699" s="55" t="s">
        <v>2759</v>
      </c>
      <c r="H3699" s="50" t="s">
        <v>6630</v>
      </c>
    </row>
    <row r="3700" spans="3:8" x14ac:dyDescent="0.2">
      <c r="C3700" s="195">
        <v>44834</v>
      </c>
      <c r="D3700" s="55">
        <v>280</v>
      </c>
      <c r="E3700" s="55" t="s">
        <v>6631</v>
      </c>
      <c r="F3700" s="55" t="s">
        <v>272</v>
      </c>
      <c r="G3700" s="55" t="s">
        <v>273</v>
      </c>
      <c r="H3700" s="50" t="s">
        <v>6632</v>
      </c>
    </row>
    <row r="3701" spans="3:8" x14ac:dyDescent="0.2">
      <c r="C3701" s="195">
        <v>44825</v>
      </c>
      <c r="D3701" s="55">
        <v>280</v>
      </c>
      <c r="E3701" s="55" t="s">
        <v>6633</v>
      </c>
      <c r="F3701" s="55" t="s">
        <v>231</v>
      </c>
      <c r="G3701" s="55" t="s">
        <v>435</v>
      </c>
      <c r="H3701" s="50" t="s">
        <v>6634</v>
      </c>
    </row>
    <row r="3702" spans="3:8" x14ac:dyDescent="0.2">
      <c r="C3702" s="195">
        <v>44812</v>
      </c>
      <c r="D3702" s="55">
        <v>260</v>
      </c>
      <c r="E3702" s="55" t="s">
        <v>6635</v>
      </c>
      <c r="F3702" s="55" t="s">
        <v>219</v>
      </c>
      <c r="G3702" s="55" t="s">
        <v>451</v>
      </c>
      <c r="H3702" s="50" t="s">
        <v>6636</v>
      </c>
    </row>
    <row r="3703" spans="3:8" x14ac:dyDescent="0.2">
      <c r="C3703" s="195">
        <v>44806</v>
      </c>
      <c r="D3703" s="55">
        <v>280</v>
      </c>
      <c r="E3703" s="55" t="s">
        <v>6637</v>
      </c>
      <c r="F3703" s="55" t="s">
        <v>263</v>
      </c>
      <c r="G3703" s="55" t="s">
        <v>3747</v>
      </c>
      <c r="H3703" s="50" t="s">
        <v>6638</v>
      </c>
    </row>
    <row r="3704" spans="3:8" x14ac:dyDescent="0.2">
      <c r="C3704" s="195">
        <v>44830</v>
      </c>
      <c r="D3704" s="55">
        <v>260</v>
      </c>
      <c r="E3704" s="55" t="s">
        <v>6639</v>
      </c>
      <c r="F3704" s="55" t="s">
        <v>244</v>
      </c>
      <c r="G3704" s="55" t="s">
        <v>294</v>
      </c>
      <c r="H3704" s="50" t="s">
        <v>6640</v>
      </c>
    </row>
    <row r="3705" spans="3:8" x14ac:dyDescent="0.2">
      <c r="C3705" s="195">
        <v>44830</v>
      </c>
      <c r="D3705" s="55">
        <v>260</v>
      </c>
      <c r="E3705" s="55" t="s">
        <v>6641</v>
      </c>
      <c r="F3705" s="55" t="s">
        <v>244</v>
      </c>
      <c r="G3705" s="55" t="s">
        <v>294</v>
      </c>
      <c r="H3705" s="50" t="s">
        <v>224</v>
      </c>
    </row>
    <row r="3706" spans="3:8" x14ac:dyDescent="0.2">
      <c r="C3706" s="195">
        <v>44832</v>
      </c>
      <c r="D3706" s="55">
        <v>280</v>
      </c>
      <c r="E3706" s="55" t="s">
        <v>6642</v>
      </c>
      <c r="F3706" s="55" t="s">
        <v>263</v>
      </c>
      <c r="G3706" s="55" t="s">
        <v>426</v>
      </c>
      <c r="H3706" s="50" t="s">
        <v>6643</v>
      </c>
    </row>
    <row r="3707" spans="3:8" x14ac:dyDescent="0.2">
      <c r="C3707" s="195">
        <v>44831</v>
      </c>
      <c r="D3707" s="55">
        <v>260</v>
      </c>
      <c r="E3707" s="55" t="s">
        <v>6644</v>
      </c>
      <c r="F3707" s="55" t="s">
        <v>263</v>
      </c>
      <c r="G3707" s="55" t="s">
        <v>426</v>
      </c>
      <c r="H3707" s="50" t="s">
        <v>6645</v>
      </c>
    </row>
    <row r="3708" spans="3:8" x14ac:dyDescent="0.2">
      <c r="C3708" s="195">
        <v>44831</v>
      </c>
      <c r="D3708" s="55">
        <v>280</v>
      </c>
      <c r="E3708" s="55" t="s">
        <v>6646</v>
      </c>
      <c r="F3708" s="55" t="s">
        <v>291</v>
      </c>
      <c r="G3708" s="55" t="s">
        <v>1247</v>
      </c>
      <c r="H3708" s="50" t="s">
        <v>6647</v>
      </c>
    </row>
    <row r="3709" spans="3:8" x14ac:dyDescent="0.2">
      <c r="C3709" s="195">
        <v>44813</v>
      </c>
      <c r="D3709" s="55">
        <v>260</v>
      </c>
      <c r="E3709" s="55" t="s">
        <v>6648</v>
      </c>
      <c r="F3709" s="55" t="s">
        <v>219</v>
      </c>
      <c r="G3709" s="55" t="s">
        <v>249</v>
      </c>
      <c r="H3709" s="50" t="s">
        <v>6649</v>
      </c>
    </row>
    <row r="3710" spans="3:8" x14ac:dyDescent="0.2">
      <c r="C3710" s="195">
        <v>44833</v>
      </c>
      <c r="D3710" s="55">
        <v>260</v>
      </c>
      <c r="E3710" s="55" t="s">
        <v>6650</v>
      </c>
      <c r="F3710" s="55" t="s">
        <v>206</v>
      </c>
      <c r="G3710" s="55" t="s">
        <v>758</v>
      </c>
      <c r="H3710" s="50" t="s">
        <v>6651</v>
      </c>
    </row>
    <row r="3711" spans="3:8" x14ac:dyDescent="0.2">
      <c r="C3711" s="195">
        <v>44820</v>
      </c>
      <c r="D3711" s="55">
        <v>280</v>
      </c>
      <c r="E3711" s="55" t="s">
        <v>6652</v>
      </c>
      <c r="F3711" s="55" t="s">
        <v>244</v>
      </c>
      <c r="G3711" s="55" t="s">
        <v>2759</v>
      </c>
      <c r="H3711" s="50" t="s">
        <v>6653</v>
      </c>
    </row>
    <row r="3712" spans="3:8" x14ac:dyDescent="0.2">
      <c r="C3712" s="195">
        <v>44823</v>
      </c>
      <c r="D3712" s="55">
        <v>280</v>
      </c>
      <c r="E3712" s="55" t="s">
        <v>6654</v>
      </c>
      <c r="F3712" s="55" t="s">
        <v>231</v>
      </c>
      <c r="G3712" s="55" t="s">
        <v>435</v>
      </c>
      <c r="H3712" s="50" t="s">
        <v>6655</v>
      </c>
    </row>
    <row r="3713" spans="1:62" x14ac:dyDescent="0.2">
      <c r="C3713" s="195">
        <v>44823</v>
      </c>
      <c r="D3713" s="55">
        <v>260</v>
      </c>
      <c r="E3713" s="55" t="s">
        <v>6656</v>
      </c>
      <c r="F3713" s="55" t="s">
        <v>196</v>
      </c>
      <c r="G3713" s="55" t="s">
        <v>361</v>
      </c>
      <c r="H3713" s="50" t="s">
        <v>6657</v>
      </c>
    </row>
    <row r="3714" spans="1:62" x14ac:dyDescent="0.2">
      <c r="C3714" s="195">
        <v>44832</v>
      </c>
      <c r="D3714" s="55">
        <v>280</v>
      </c>
      <c r="E3714" s="55" t="s">
        <v>6658</v>
      </c>
      <c r="F3714" s="55" t="s">
        <v>231</v>
      </c>
      <c r="G3714" s="55" t="s">
        <v>371</v>
      </c>
      <c r="H3714" s="50" t="s">
        <v>6659</v>
      </c>
    </row>
    <row r="3715" spans="1:62" x14ac:dyDescent="0.2">
      <c r="C3715" s="195">
        <v>44818</v>
      </c>
      <c r="D3715" s="55">
        <v>280</v>
      </c>
      <c r="E3715" s="55" t="s">
        <v>6660</v>
      </c>
      <c r="F3715" s="55" t="s">
        <v>231</v>
      </c>
      <c r="G3715" s="55" t="s">
        <v>648</v>
      </c>
      <c r="H3715" s="50" t="s">
        <v>6661</v>
      </c>
    </row>
    <row r="3716" spans="1:62" x14ac:dyDescent="0.2">
      <c r="C3716" s="195">
        <v>44812</v>
      </c>
      <c r="D3716" s="55">
        <v>280</v>
      </c>
      <c r="E3716" s="55" t="s">
        <v>6662</v>
      </c>
      <c r="F3716" s="55" t="s">
        <v>267</v>
      </c>
      <c r="G3716" s="55" t="s">
        <v>813</v>
      </c>
      <c r="H3716" s="50" t="s">
        <v>224</v>
      </c>
    </row>
    <row r="3717" spans="1:62" x14ac:dyDescent="0.2">
      <c r="C3717" s="195">
        <v>44824</v>
      </c>
      <c r="D3717" s="55">
        <v>260</v>
      </c>
      <c r="E3717" s="55" t="s">
        <v>6663</v>
      </c>
      <c r="F3717" s="55" t="s">
        <v>192</v>
      </c>
      <c r="G3717" s="55" t="s">
        <v>487</v>
      </c>
      <c r="H3717" s="50" t="s">
        <v>6664</v>
      </c>
    </row>
    <row r="3718" spans="1:62" x14ac:dyDescent="0.2">
      <c r="C3718" s="195">
        <v>44830</v>
      </c>
      <c r="D3718" s="55">
        <v>280</v>
      </c>
      <c r="E3718" s="55" t="s">
        <v>6665</v>
      </c>
      <c r="F3718" s="55" t="s">
        <v>244</v>
      </c>
      <c r="G3718" s="55" t="s">
        <v>378</v>
      </c>
      <c r="H3718" s="50" t="s">
        <v>6666</v>
      </c>
    </row>
    <row r="3719" spans="1:62" x14ac:dyDescent="0.2">
      <c r="A3719" s="57">
        <v>922</v>
      </c>
      <c r="B3719" t="s">
        <v>836</v>
      </c>
      <c r="C3719" s="195">
        <v>44810</v>
      </c>
      <c r="D3719" s="55">
        <v>280</v>
      </c>
      <c r="E3719" s="55" t="s">
        <v>6667</v>
      </c>
      <c r="F3719" s="55" t="s">
        <v>263</v>
      </c>
      <c r="G3719" s="55" t="s">
        <v>413</v>
      </c>
      <c r="H3719" s="50" t="s">
        <v>224</v>
      </c>
      <c r="I3719" s="46" t="s">
        <v>839</v>
      </c>
      <c r="J3719" s="52">
        <v>2</v>
      </c>
      <c r="K3719" s="52">
        <v>3</v>
      </c>
      <c r="L3719" s="52">
        <v>1</v>
      </c>
      <c r="M3719" s="52">
        <v>3</v>
      </c>
      <c r="N3719" s="52">
        <v>3</v>
      </c>
      <c r="O3719" s="52">
        <v>3</v>
      </c>
      <c r="P3719" s="58">
        <v>3</v>
      </c>
      <c r="Q3719" s="52">
        <v>2</v>
      </c>
      <c r="R3719" s="52">
        <v>3</v>
      </c>
      <c r="S3719" s="52">
        <v>2</v>
      </c>
      <c r="W3719" s="1">
        <v>2</v>
      </c>
      <c r="AA3719" s="1">
        <v>2</v>
      </c>
      <c r="AG3719">
        <v>4</v>
      </c>
      <c r="AH3719">
        <v>4</v>
      </c>
      <c r="AI3719">
        <v>4</v>
      </c>
      <c r="AJ3719">
        <v>4</v>
      </c>
      <c r="AK3719">
        <v>4</v>
      </c>
      <c r="AL3719">
        <v>4</v>
      </c>
      <c r="AM3719">
        <v>4</v>
      </c>
      <c r="AS3719">
        <v>1</v>
      </c>
      <c r="AT3719">
        <v>3</v>
      </c>
      <c r="AU3719">
        <v>3</v>
      </c>
      <c r="AV3719">
        <v>4</v>
      </c>
      <c r="AW3719">
        <v>4</v>
      </c>
      <c r="AX3719">
        <v>4</v>
      </c>
      <c r="AY3719">
        <v>4</v>
      </c>
      <c r="AZ3719">
        <v>2</v>
      </c>
      <c r="BA3719">
        <v>3</v>
      </c>
      <c r="BB3719">
        <v>3</v>
      </c>
      <c r="BC3719">
        <v>3</v>
      </c>
      <c r="BD3719">
        <v>3</v>
      </c>
      <c r="BE3719">
        <v>3</v>
      </c>
      <c r="BF3719">
        <v>4</v>
      </c>
      <c r="BG3719">
        <v>4</v>
      </c>
      <c r="BH3719">
        <v>4</v>
      </c>
      <c r="BI3719">
        <v>4</v>
      </c>
      <c r="BJ3719">
        <v>2</v>
      </c>
    </row>
    <row r="3720" spans="1:62" x14ac:dyDescent="0.2">
      <c r="C3720" s="195">
        <v>44811</v>
      </c>
      <c r="D3720" s="55">
        <v>280</v>
      </c>
      <c r="E3720" s="55" t="s">
        <v>6668</v>
      </c>
      <c r="F3720" s="55" t="s">
        <v>210</v>
      </c>
      <c r="G3720" s="55" t="s">
        <v>235</v>
      </c>
      <c r="H3720" s="50" t="s">
        <v>6669</v>
      </c>
    </row>
    <row r="3721" spans="1:62" x14ac:dyDescent="0.2">
      <c r="C3721" s="195">
        <v>44820</v>
      </c>
      <c r="D3721" s="55">
        <v>260</v>
      </c>
      <c r="E3721" s="55" t="s">
        <v>6670</v>
      </c>
      <c r="F3721" s="55" t="s">
        <v>196</v>
      </c>
      <c r="G3721" s="55" t="s">
        <v>352</v>
      </c>
      <c r="H3721" s="50" t="s">
        <v>6671</v>
      </c>
    </row>
    <row r="3722" spans="1:62" x14ac:dyDescent="0.2">
      <c r="C3722" s="195">
        <v>44820</v>
      </c>
      <c r="D3722" s="55">
        <v>260</v>
      </c>
      <c r="E3722" s="55" t="s">
        <v>6672</v>
      </c>
      <c r="F3722" s="55" t="s">
        <v>196</v>
      </c>
      <c r="G3722" s="55" t="s">
        <v>352</v>
      </c>
      <c r="H3722" s="50" t="s">
        <v>6673</v>
      </c>
    </row>
    <row r="3723" spans="1:62" x14ac:dyDescent="0.2">
      <c r="C3723" s="195">
        <v>44831</v>
      </c>
      <c r="D3723" s="55">
        <v>260</v>
      </c>
      <c r="E3723" s="55" t="s">
        <v>6674</v>
      </c>
      <c r="F3723" s="55" t="s">
        <v>390</v>
      </c>
      <c r="G3723" s="55" t="s">
        <v>2950</v>
      </c>
      <c r="H3723" s="50" t="s">
        <v>6675</v>
      </c>
    </row>
    <row r="3724" spans="1:62" x14ac:dyDescent="0.2">
      <c r="C3724" s="195">
        <v>44834</v>
      </c>
      <c r="D3724" s="55">
        <v>260</v>
      </c>
      <c r="E3724" s="55" t="s">
        <v>6676</v>
      </c>
      <c r="F3724" s="55" t="s">
        <v>291</v>
      </c>
      <c r="G3724" s="55" t="s">
        <v>643</v>
      </c>
      <c r="H3724" s="50" t="s">
        <v>6677</v>
      </c>
    </row>
    <row r="3725" spans="1:62" x14ac:dyDescent="0.2">
      <c r="C3725" s="195">
        <v>44817</v>
      </c>
      <c r="D3725" s="55">
        <v>260</v>
      </c>
      <c r="E3725" s="55" t="s">
        <v>6678</v>
      </c>
      <c r="F3725" s="55" t="s">
        <v>231</v>
      </c>
      <c r="G3725" s="55" t="s">
        <v>371</v>
      </c>
      <c r="H3725" s="50" t="s">
        <v>6679</v>
      </c>
    </row>
    <row r="3726" spans="1:62" x14ac:dyDescent="0.2">
      <c r="C3726" s="195">
        <v>44830</v>
      </c>
      <c r="D3726" s="55">
        <v>280</v>
      </c>
      <c r="E3726" s="55" t="s">
        <v>6680</v>
      </c>
      <c r="F3726" s="55" t="s">
        <v>196</v>
      </c>
      <c r="G3726" s="55" t="s">
        <v>197</v>
      </c>
      <c r="H3726" s="50" t="s">
        <v>6681</v>
      </c>
    </row>
    <row r="3727" spans="1:62" x14ac:dyDescent="0.2">
      <c r="C3727" s="195">
        <v>44833</v>
      </c>
      <c r="D3727" s="55">
        <v>260</v>
      </c>
      <c r="E3727" s="55" t="s">
        <v>6682</v>
      </c>
      <c r="F3727" s="55" t="s">
        <v>231</v>
      </c>
      <c r="G3727" s="55" t="s">
        <v>232</v>
      </c>
      <c r="H3727" s="50" t="s">
        <v>224</v>
      </c>
    </row>
    <row r="3728" spans="1:62" x14ac:dyDescent="0.2">
      <c r="C3728" s="195">
        <v>44806</v>
      </c>
      <c r="D3728" s="55">
        <v>280</v>
      </c>
      <c r="E3728" s="55" t="s">
        <v>6683</v>
      </c>
      <c r="F3728" s="55" t="s">
        <v>202</v>
      </c>
      <c r="G3728" s="55" t="s">
        <v>297</v>
      </c>
      <c r="H3728" s="50" t="s">
        <v>6684</v>
      </c>
    </row>
    <row r="3729" spans="1:62" x14ac:dyDescent="0.2">
      <c r="C3729" s="195">
        <v>44833</v>
      </c>
      <c r="D3729" s="55">
        <v>260</v>
      </c>
      <c r="E3729" s="55" t="s">
        <v>6685</v>
      </c>
      <c r="F3729" s="55" t="s">
        <v>390</v>
      </c>
      <c r="G3729" s="55" t="s">
        <v>490</v>
      </c>
      <c r="H3729" s="50" t="s">
        <v>6686</v>
      </c>
    </row>
    <row r="3730" spans="1:62" x14ac:dyDescent="0.2">
      <c r="C3730" s="195">
        <v>44825</v>
      </c>
      <c r="D3730" s="55">
        <v>260</v>
      </c>
      <c r="E3730" s="55" t="s">
        <v>6687</v>
      </c>
      <c r="F3730" s="55" t="s">
        <v>219</v>
      </c>
      <c r="G3730" s="55" t="s">
        <v>3710</v>
      </c>
      <c r="H3730" s="50" t="s">
        <v>6688</v>
      </c>
    </row>
    <row r="3731" spans="1:62" x14ac:dyDescent="0.2">
      <c r="C3731" s="195">
        <v>44827</v>
      </c>
      <c r="D3731" s="55">
        <v>280</v>
      </c>
      <c r="E3731" s="55" t="s">
        <v>6689</v>
      </c>
      <c r="F3731" s="55" t="s">
        <v>244</v>
      </c>
      <c r="G3731" s="55" t="s">
        <v>393</v>
      </c>
      <c r="H3731" s="50" t="s">
        <v>6690</v>
      </c>
    </row>
    <row r="3732" spans="1:62" x14ac:dyDescent="0.2">
      <c r="C3732" s="195">
        <v>44817</v>
      </c>
      <c r="D3732" s="55">
        <v>280</v>
      </c>
      <c r="E3732" s="55" t="s">
        <v>6691</v>
      </c>
      <c r="F3732" s="55" t="s">
        <v>263</v>
      </c>
      <c r="G3732" s="55" t="s">
        <v>3747</v>
      </c>
      <c r="H3732" s="50" t="s">
        <v>6692</v>
      </c>
    </row>
    <row r="3733" spans="1:62" x14ac:dyDescent="0.2">
      <c r="C3733" s="195">
        <v>44817</v>
      </c>
      <c r="D3733" s="55">
        <v>280</v>
      </c>
      <c r="E3733" s="55" t="s">
        <v>6693</v>
      </c>
      <c r="F3733" s="55" t="s">
        <v>267</v>
      </c>
      <c r="G3733" s="55" t="s">
        <v>268</v>
      </c>
      <c r="H3733" s="50" t="s">
        <v>6694</v>
      </c>
    </row>
    <row r="3734" spans="1:62" x14ac:dyDescent="0.2">
      <c r="C3734" s="195">
        <v>44830</v>
      </c>
      <c r="D3734" s="55">
        <v>280</v>
      </c>
      <c r="E3734" s="55" t="s">
        <v>6695</v>
      </c>
      <c r="F3734" s="55" t="s">
        <v>196</v>
      </c>
      <c r="G3734" s="55" t="s">
        <v>197</v>
      </c>
      <c r="H3734" s="50" t="s">
        <v>6696</v>
      </c>
    </row>
    <row r="3735" spans="1:62" x14ac:dyDescent="0.2">
      <c r="A3735" s="57">
        <v>922</v>
      </c>
      <c r="B3735" t="s">
        <v>836</v>
      </c>
      <c r="C3735" s="195">
        <v>44833</v>
      </c>
      <c r="D3735" s="55">
        <v>280</v>
      </c>
      <c r="E3735" s="55" t="s">
        <v>6697</v>
      </c>
      <c r="F3735" s="55" t="s">
        <v>263</v>
      </c>
      <c r="G3735" s="55" t="s">
        <v>3242</v>
      </c>
      <c r="I3735" s="46" t="s">
        <v>839</v>
      </c>
      <c r="J3735" s="52">
        <v>1</v>
      </c>
      <c r="K3735" s="52">
        <v>1</v>
      </c>
      <c r="O3735" s="1">
        <v>1</v>
      </c>
      <c r="S3735" s="1">
        <v>1</v>
      </c>
      <c r="W3735" s="1">
        <v>1</v>
      </c>
      <c r="AA3735" s="1">
        <v>1</v>
      </c>
      <c r="AG3735">
        <v>1</v>
      </c>
      <c r="AM3735">
        <v>4</v>
      </c>
      <c r="AS3735">
        <v>4</v>
      </c>
      <c r="AT3735">
        <v>1</v>
      </c>
      <c r="AU3735">
        <v>1</v>
      </c>
      <c r="AZ3735">
        <v>1</v>
      </c>
      <c r="BA3735">
        <v>1</v>
      </c>
      <c r="BB3735">
        <v>1</v>
      </c>
      <c r="BC3735">
        <v>1</v>
      </c>
      <c r="BD3735">
        <v>1</v>
      </c>
      <c r="BE3735">
        <v>1</v>
      </c>
      <c r="BJ3735">
        <v>1</v>
      </c>
    </row>
    <row r="3736" spans="1:62" x14ac:dyDescent="0.2">
      <c r="C3736" s="195">
        <v>44819</v>
      </c>
      <c r="D3736" s="55">
        <v>280</v>
      </c>
      <c r="E3736" s="55" t="s">
        <v>6698</v>
      </c>
      <c r="F3736" s="55" t="s">
        <v>231</v>
      </c>
      <c r="G3736" s="55" t="s">
        <v>255</v>
      </c>
      <c r="H3736" s="50" t="s">
        <v>224</v>
      </c>
    </row>
    <row r="3737" spans="1:62" x14ac:dyDescent="0.2">
      <c r="C3737" s="195">
        <v>44834</v>
      </c>
      <c r="D3737" s="55">
        <v>260</v>
      </c>
      <c r="E3737" s="55" t="s">
        <v>6699</v>
      </c>
      <c r="F3737" s="55" t="s">
        <v>202</v>
      </c>
      <c r="G3737" s="55" t="s">
        <v>302</v>
      </c>
      <c r="H3737" s="50" t="s">
        <v>6700</v>
      </c>
    </row>
    <row r="3738" spans="1:62" x14ac:dyDescent="0.2">
      <c r="C3738" s="195">
        <v>44824</v>
      </c>
      <c r="D3738" s="55">
        <v>260</v>
      </c>
      <c r="E3738" s="55" t="s">
        <v>6701</v>
      </c>
      <c r="F3738" s="55" t="s">
        <v>231</v>
      </c>
      <c r="G3738" s="55" t="s">
        <v>782</v>
      </c>
      <c r="H3738" s="50" t="s">
        <v>6702</v>
      </c>
    </row>
    <row r="3739" spans="1:62" x14ac:dyDescent="0.2">
      <c r="C3739" s="195">
        <v>44811</v>
      </c>
      <c r="D3739" s="55">
        <v>260</v>
      </c>
      <c r="E3739" s="55" t="s">
        <v>6703</v>
      </c>
      <c r="F3739" s="55" t="s">
        <v>263</v>
      </c>
      <c r="G3739" s="55" t="s">
        <v>426</v>
      </c>
      <c r="H3739" s="50" t="s">
        <v>6704</v>
      </c>
    </row>
    <row r="3740" spans="1:62" x14ac:dyDescent="0.2">
      <c r="C3740" s="195">
        <v>44818</v>
      </c>
      <c r="D3740" s="55">
        <v>280</v>
      </c>
      <c r="E3740" s="55" t="s">
        <v>6705</v>
      </c>
      <c r="F3740" s="55" t="s">
        <v>196</v>
      </c>
      <c r="G3740" s="55" t="s">
        <v>498</v>
      </c>
      <c r="H3740" s="50" t="s">
        <v>6706</v>
      </c>
    </row>
    <row r="3741" spans="1:62" x14ac:dyDescent="0.2">
      <c r="C3741" s="195">
        <v>44834</v>
      </c>
      <c r="D3741" s="55">
        <v>260</v>
      </c>
      <c r="E3741" s="55" t="s">
        <v>6707</v>
      </c>
      <c r="F3741" s="55" t="s">
        <v>291</v>
      </c>
      <c r="G3741" s="55" t="s">
        <v>1247</v>
      </c>
      <c r="H3741" s="50" t="s">
        <v>6708</v>
      </c>
    </row>
    <row r="3742" spans="1:62" x14ac:dyDescent="0.2">
      <c r="C3742" s="195">
        <v>44833</v>
      </c>
      <c r="D3742" s="55">
        <v>280</v>
      </c>
      <c r="E3742" s="55" t="s">
        <v>6709</v>
      </c>
      <c r="F3742" s="55" t="s">
        <v>291</v>
      </c>
      <c r="G3742" s="55" t="s">
        <v>643</v>
      </c>
      <c r="H3742" s="50" t="s">
        <v>6710</v>
      </c>
    </row>
    <row r="3743" spans="1:62" x14ac:dyDescent="0.2">
      <c r="C3743" s="195">
        <v>44813</v>
      </c>
      <c r="D3743" s="55">
        <v>260</v>
      </c>
      <c r="E3743" s="55" t="s">
        <v>6711</v>
      </c>
      <c r="F3743" s="55" t="s">
        <v>390</v>
      </c>
      <c r="G3743" s="55" t="s">
        <v>870</v>
      </c>
      <c r="H3743" s="50" t="s">
        <v>6712</v>
      </c>
    </row>
    <row r="3744" spans="1:62" x14ac:dyDescent="0.2">
      <c r="C3744" s="195">
        <v>44823</v>
      </c>
      <c r="D3744" s="55">
        <v>260</v>
      </c>
      <c r="E3744" s="55" t="s">
        <v>6713</v>
      </c>
      <c r="F3744" s="55" t="s">
        <v>202</v>
      </c>
      <c r="G3744" s="55" t="s">
        <v>2033</v>
      </c>
      <c r="H3744" s="50" t="s">
        <v>224</v>
      </c>
    </row>
    <row r="3745" spans="1:62" x14ac:dyDescent="0.2">
      <c r="C3745" s="195">
        <v>44811</v>
      </c>
      <c r="D3745" s="55">
        <v>280</v>
      </c>
      <c r="E3745" s="55" t="s">
        <v>6714</v>
      </c>
      <c r="F3745" s="55" t="s">
        <v>206</v>
      </c>
      <c r="G3745" s="55" t="s">
        <v>676</v>
      </c>
      <c r="H3745" s="50" t="s">
        <v>6715</v>
      </c>
    </row>
    <row r="3746" spans="1:62" x14ac:dyDescent="0.2">
      <c r="C3746" s="195">
        <v>44834</v>
      </c>
      <c r="D3746" s="55">
        <v>260</v>
      </c>
      <c r="E3746" s="55" t="s">
        <v>6716</v>
      </c>
      <c r="F3746" s="55" t="s">
        <v>291</v>
      </c>
      <c r="G3746" s="55" t="s">
        <v>2723</v>
      </c>
      <c r="H3746" s="50" t="s">
        <v>6717</v>
      </c>
    </row>
    <row r="3747" spans="1:62" x14ac:dyDescent="0.2">
      <c r="C3747" s="195">
        <v>44811</v>
      </c>
      <c r="D3747" s="55">
        <v>260</v>
      </c>
      <c r="E3747" s="55" t="s">
        <v>6718</v>
      </c>
      <c r="F3747" s="55" t="s">
        <v>231</v>
      </c>
      <c r="G3747" s="55" t="s">
        <v>435</v>
      </c>
      <c r="H3747" s="50" t="s">
        <v>6719</v>
      </c>
    </row>
    <row r="3748" spans="1:62" x14ac:dyDescent="0.2">
      <c r="C3748" s="195">
        <v>44810</v>
      </c>
      <c r="D3748" s="55">
        <v>280</v>
      </c>
      <c r="E3748" s="55" t="s">
        <v>6720</v>
      </c>
      <c r="F3748" s="55" t="s">
        <v>196</v>
      </c>
      <c r="G3748" s="55" t="s">
        <v>464</v>
      </c>
      <c r="H3748" s="50" t="s">
        <v>6721</v>
      </c>
    </row>
    <row r="3749" spans="1:62" x14ac:dyDescent="0.2">
      <c r="C3749" s="195">
        <v>44834</v>
      </c>
      <c r="D3749" s="55">
        <v>280</v>
      </c>
      <c r="E3749" s="55" t="s">
        <v>6722</v>
      </c>
      <c r="F3749" s="55" t="s">
        <v>244</v>
      </c>
      <c r="G3749" s="55" t="s">
        <v>2759</v>
      </c>
      <c r="H3749" s="50" t="s">
        <v>6723</v>
      </c>
    </row>
    <row r="3750" spans="1:62" x14ac:dyDescent="0.2">
      <c r="C3750" s="195">
        <v>44830</v>
      </c>
      <c r="D3750" s="55">
        <v>280</v>
      </c>
      <c r="E3750" s="55" t="s">
        <v>6724</v>
      </c>
      <c r="F3750" s="55" t="s">
        <v>390</v>
      </c>
      <c r="G3750" s="55" t="s">
        <v>590</v>
      </c>
      <c r="H3750" s="50" t="s">
        <v>224</v>
      </c>
    </row>
    <row r="3751" spans="1:62" x14ac:dyDescent="0.2">
      <c r="C3751" s="195">
        <v>44834</v>
      </c>
      <c r="D3751" s="55">
        <v>280</v>
      </c>
      <c r="E3751" s="55" t="s">
        <v>6725</v>
      </c>
      <c r="F3751" s="55" t="s">
        <v>291</v>
      </c>
      <c r="G3751" s="55" t="s">
        <v>480</v>
      </c>
    </row>
    <row r="3752" spans="1:62" x14ac:dyDescent="0.2">
      <c r="A3752" s="57">
        <v>922</v>
      </c>
      <c r="B3752" t="s">
        <v>836</v>
      </c>
      <c r="C3752" s="195">
        <v>44827</v>
      </c>
      <c r="D3752" s="55">
        <v>260</v>
      </c>
      <c r="E3752" s="55" t="s">
        <v>6726</v>
      </c>
      <c r="F3752" s="55" t="s">
        <v>192</v>
      </c>
      <c r="G3752" s="55" t="s">
        <v>453</v>
      </c>
      <c r="H3752" s="50" t="s">
        <v>224</v>
      </c>
      <c r="I3752" s="46" t="s">
        <v>839</v>
      </c>
      <c r="J3752" s="52">
        <v>1</v>
      </c>
      <c r="K3752" s="52">
        <v>1</v>
      </c>
      <c r="O3752" s="1">
        <v>1</v>
      </c>
      <c r="S3752" s="1">
        <v>1</v>
      </c>
      <c r="W3752" s="1">
        <v>1</v>
      </c>
      <c r="AA3752" s="1">
        <v>1</v>
      </c>
      <c r="AG3752">
        <v>1</v>
      </c>
      <c r="AM3752">
        <v>2</v>
      </c>
      <c r="AN3752">
        <v>1</v>
      </c>
      <c r="AO3752">
        <v>1</v>
      </c>
      <c r="AP3752">
        <v>1</v>
      </c>
      <c r="AQ3752">
        <v>3</v>
      </c>
      <c r="AR3752">
        <v>3</v>
      </c>
      <c r="AS3752">
        <v>2</v>
      </c>
      <c r="AT3752">
        <v>1</v>
      </c>
      <c r="AU3752">
        <v>2</v>
      </c>
      <c r="AZ3752">
        <v>1</v>
      </c>
      <c r="BA3752">
        <v>1</v>
      </c>
      <c r="BB3752">
        <v>1</v>
      </c>
      <c r="BC3752">
        <v>1</v>
      </c>
      <c r="BD3752">
        <v>1</v>
      </c>
      <c r="BE3752">
        <v>2</v>
      </c>
      <c r="BJ3752">
        <v>1</v>
      </c>
    </row>
    <row r="3753" spans="1:62" x14ac:dyDescent="0.2">
      <c r="C3753" s="195">
        <v>44834</v>
      </c>
      <c r="D3753" s="55">
        <v>260</v>
      </c>
      <c r="E3753" s="55" t="s">
        <v>6727</v>
      </c>
      <c r="F3753" s="55" t="s">
        <v>244</v>
      </c>
      <c r="G3753" s="55" t="s">
        <v>245</v>
      </c>
      <c r="H3753" s="50" t="s">
        <v>6728</v>
      </c>
    </row>
    <row r="3754" spans="1:62" x14ac:dyDescent="0.2">
      <c r="C3754" s="195">
        <v>44812</v>
      </c>
      <c r="D3754" s="55">
        <v>280</v>
      </c>
      <c r="E3754" s="55" t="s">
        <v>6729</v>
      </c>
      <c r="F3754" s="55" t="s">
        <v>244</v>
      </c>
      <c r="G3754" s="55" t="s">
        <v>2759</v>
      </c>
      <c r="H3754" s="50" t="s">
        <v>6730</v>
      </c>
    </row>
    <row r="3755" spans="1:62" x14ac:dyDescent="0.2">
      <c r="C3755" s="195">
        <v>44833</v>
      </c>
      <c r="D3755" s="55">
        <v>280</v>
      </c>
      <c r="E3755" s="55" t="s">
        <v>6731</v>
      </c>
      <c r="F3755" s="55" t="s">
        <v>291</v>
      </c>
      <c r="G3755" s="55" t="s">
        <v>643</v>
      </c>
      <c r="H3755" s="50" t="s">
        <v>6732</v>
      </c>
    </row>
    <row r="3756" spans="1:62" x14ac:dyDescent="0.2">
      <c r="C3756" s="195">
        <v>44817</v>
      </c>
      <c r="D3756" s="55">
        <v>260</v>
      </c>
      <c r="E3756" s="55" t="s">
        <v>6733</v>
      </c>
      <c r="F3756" s="55" t="s">
        <v>210</v>
      </c>
      <c r="G3756" s="55" t="s">
        <v>883</v>
      </c>
      <c r="H3756" s="50" t="s">
        <v>6734</v>
      </c>
    </row>
    <row r="3757" spans="1:62" x14ac:dyDescent="0.2">
      <c r="C3757" s="195">
        <v>44834</v>
      </c>
      <c r="D3757" s="55">
        <v>280</v>
      </c>
      <c r="E3757" s="55" t="s">
        <v>6735</v>
      </c>
      <c r="F3757" s="55" t="s">
        <v>390</v>
      </c>
      <c r="G3757" s="55" t="s">
        <v>1717</v>
      </c>
      <c r="H3757" s="50" t="s">
        <v>6736</v>
      </c>
    </row>
    <row r="3758" spans="1:62" x14ac:dyDescent="0.2">
      <c r="C3758" s="195">
        <v>44834</v>
      </c>
      <c r="D3758" s="55">
        <v>260</v>
      </c>
      <c r="E3758" s="55" t="s">
        <v>6737</v>
      </c>
      <c r="F3758" s="55" t="s">
        <v>202</v>
      </c>
      <c r="G3758" s="55" t="s">
        <v>297</v>
      </c>
      <c r="H3758" s="50" t="s">
        <v>6738</v>
      </c>
    </row>
    <row r="3759" spans="1:62" x14ac:dyDescent="0.2">
      <c r="C3759" s="195">
        <v>44834</v>
      </c>
      <c r="D3759" s="55">
        <v>260</v>
      </c>
      <c r="E3759" s="55" t="s">
        <v>6739</v>
      </c>
      <c r="F3759" s="55" t="s">
        <v>244</v>
      </c>
      <c r="G3759" s="55" t="s">
        <v>245</v>
      </c>
      <c r="H3759" s="50" t="s">
        <v>6740</v>
      </c>
    </row>
    <row r="3760" spans="1:62" x14ac:dyDescent="0.2">
      <c r="A3760" s="57">
        <v>922</v>
      </c>
      <c r="B3760" t="s">
        <v>836</v>
      </c>
      <c r="C3760" s="195">
        <v>44827</v>
      </c>
      <c r="D3760" s="55">
        <v>280</v>
      </c>
      <c r="E3760" s="55" t="s">
        <v>6741</v>
      </c>
      <c r="F3760" s="55" t="s">
        <v>267</v>
      </c>
      <c r="G3760" s="55" t="s">
        <v>357</v>
      </c>
      <c r="H3760" s="50" t="s">
        <v>224</v>
      </c>
      <c r="I3760" s="46" t="s">
        <v>839</v>
      </c>
      <c r="J3760" s="52">
        <v>2</v>
      </c>
      <c r="K3760" s="52">
        <v>2</v>
      </c>
      <c r="O3760" s="1">
        <v>1</v>
      </c>
      <c r="S3760" s="1">
        <v>1</v>
      </c>
      <c r="W3760" s="1">
        <v>1</v>
      </c>
      <c r="AA3760" s="1">
        <v>2</v>
      </c>
      <c r="AG3760">
        <v>2</v>
      </c>
      <c r="AM3760">
        <v>2</v>
      </c>
      <c r="AN3760">
        <v>4</v>
      </c>
      <c r="AO3760">
        <v>4</v>
      </c>
      <c r="AP3760">
        <v>4</v>
      </c>
      <c r="AQ3760">
        <v>4</v>
      </c>
      <c r="AR3760">
        <v>4</v>
      </c>
      <c r="AS3760">
        <v>3</v>
      </c>
      <c r="AT3760">
        <v>2</v>
      </c>
      <c r="AU3760">
        <v>2</v>
      </c>
      <c r="AZ3760">
        <v>2</v>
      </c>
      <c r="BA3760">
        <v>1</v>
      </c>
      <c r="BB3760">
        <v>1</v>
      </c>
      <c r="BC3760">
        <v>1</v>
      </c>
      <c r="BD3760">
        <v>1</v>
      </c>
      <c r="BE3760">
        <v>2</v>
      </c>
      <c r="BJ3760">
        <v>2</v>
      </c>
    </row>
    <row r="3761" spans="1:62" x14ac:dyDescent="0.2">
      <c r="A3761" s="57">
        <v>922</v>
      </c>
      <c r="B3761" t="s">
        <v>836</v>
      </c>
      <c r="C3761" s="195">
        <v>44812</v>
      </c>
      <c r="D3761" s="55">
        <v>260</v>
      </c>
      <c r="E3761" s="55" t="s">
        <v>6742</v>
      </c>
      <c r="F3761" s="55" t="s">
        <v>210</v>
      </c>
      <c r="G3761" s="55" t="s">
        <v>383</v>
      </c>
      <c r="H3761" s="50" t="s">
        <v>224</v>
      </c>
      <c r="I3761" s="46" t="s">
        <v>839</v>
      </c>
      <c r="J3761" s="52">
        <v>1</v>
      </c>
      <c r="K3761" s="52">
        <v>1</v>
      </c>
      <c r="O3761" s="1">
        <v>1</v>
      </c>
      <c r="S3761" s="1">
        <v>1</v>
      </c>
      <c r="W3761" s="1">
        <v>1</v>
      </c>
      <c r="AA3761" s="1">
        <v>1</v>
      </c>
      <c r="AG3761">
        <v>1</v>
      </c>
      <c r="AM3761">
        <v>3</v>
      </c>
      <c r="AS3761">
        <v>4</v>
      </c>
      <c r="AT3761">
        <v>1</v>
      </c>
      <c r="AU3761">
        <v>1</v>
      </c>
      <c r="AZ3761">
        <v>1</v>
      </c>
      <c r="BA3761">
        <v>1</v>
      </c>
      <c r="BB3761">
        <v>1</v>
      </c>
      <c r="BC3761">
        <v>1</v>
      </c>
      <c r="BD3761">
        <v>1</v>
      </c>
      <c r="BE3761">
        <v>1</v>
      </c>
      <c r="BJ3761">
        <v>1</v>
      </c>
    </row>
    <row r="3762" spans="1:62" x14ac:dyDescent="0.2">
      <c r="C3762" s="195">
        <v>44813</v>
      </c>
      <c r="D3762" s="55">
        <v>280</v>
      </c>
      <c r="E3762" s="55" t="s">
        <v>6743</v>
      </c>
      <c r="F3762" s="55" t="s">
        <v>210</v>
      </c>
      <c r="G3762" s="55" t="s">
        <v>883</v>
      </c>
      <c r="H3762" s="50" t="s">
        <v>6744</v>
      </c>
    </row>
    <row r="3763" spans="1:62" x14ac:dyDescent="0.2">
      <c r="C3763" s="195">
        <v>44806</v>
      </c>
      <c r="D3763" s="55">
        <v>260</v>
      </c>
      <c r="E3763" s="55" t="s">
        <v>6745</v>
      </c>
      <c r="F3763" s="55" t="s">
        <v>202</v>
      </c>
      <c r="G3763" s="55" t="s">
        <v>203</v>
      </c>
      <c r="H3763" s="50" t="s">
        <v>6746</v>
      </c>
    </row>
    <row r="3764" spans="1:62" x14ac:dyDescent="0.2">
      <c r="A3764" s="57">
        <v>922</v>
      </c>
      <c r="B3764" t="s">
        <v>836</v>
      </c>
      <c r="C3764" s="195">
        <v>44817</v>
      </c>
      <c r="D3764" s="55">
        <v>260</v>
      </c>
      <c r="E3764" s="55" t="s">
        <v>6747</v>
      </c>
      <c r="F3764" s="55" t="s">
        <v>231</v>
      </c>
      <c r="G3764" s="55" t="s">
        <v>435</v>
      </c>
      <c r="H3764" s="50" t="s">
        <v>224</v>
      </c>
      <c r="I3764" s="46" t="s">
        <v>839</v>
      </c>
      <c r="J3764" s="52">
        <v>1</v>
      </c>
      <c r="K3764" s="52">
        <v>1</v>
      </c>
      <c r="O3764" s="1">
        <v>2</v>
      </c>
      <c r="S3764" s="1">
        <v>4</v>
      </c>
      <c r="W3764" s="1">
        <v>2</v>
      </c>
      <c r="AA3764" s="1">
        <v>2</v>
      </c>
      <c r="AG3764">
        <v>1</v>
      </c>
      <c r="AM3764">
        <v>2</v>
      </c>
      <c r="AN3764">
        <v>1</v>
      </c>
      <c r="AO3764">
        <v>1</v>
      </c>
      <c r="AP3764">
        <v>1</v>
      </c>
      <c r="AQ3764">
        <v>2</v>
      </c>
      <c r="AR3764">
        <v>2</v>
      </c>
      <c r="AS3764">
        <v>2</v>
      </c>
      <c r="AT3764">
        <v>1</v>
      </c>
      <c r="AU3764">
        <v>2</v>
      </c>
      <c r="AZ3764">
        <v>2</v>
      </c>
      <c r="BA3764">
        <v>1</v>
      </c>
      <c r="BB3764">
        <v>1</v>
      </c>
      <c r="BC3764">
        <v>1</v>
      </c>
      <c r="BD3764">
        <v>1</v>
      </c>
      <c r="BE3764">
        <v>1</v>
      </c>
      <c r="BJ3764">
        <v>2</v>
      </c>
    </row>
    <row r="3765" spans="1:62" x14ac:dyDescent="0.2">
      <c r="C3765" s="195">
        <v>44823</v>
      </c>
      <c r="D3765" s="55">
        <v>280</v>
      </c>
      <c r="E3765" s="55" t="s">
        <v>6748</v>
      </c>
      <c r="F3765" s="55" t="s">
        <v>291</v>
      </c>
      <c r="G3765" s="55" t="s">
        <v>1247</v>
      </c>
      <c r="H3765" s="50" t="s">
        <v>6749</v>
      </c>
    </row>
    <row r="3766" spans="1:62" x14ac:dyDescent="0.2">
      <c r="C3766" s="195">
        <v>44820</v>
      </c>
      <c r="D3766" s="55">
        <v>260</v>
      </c>
      <c r="E3766" s="55" t="s">
        <v>6750</v>
      </c>
      <c r="F3766" s="55" t="s">
        <v>202</v>
      </c>
      <c r="G3766" s="55" t="s">
        <v>2033</v>
      </c>
      <c r="H3766" s="50" t="s">
        <v>6751</v>
      </c>
    </row>
    <row r="3767" spans="1:62" x14ac:dyDescent="0.2">
      <c r="C3767" s="195">
        <v>44819</v>
      </c>
      <c r="D3767" s="55">
        <v>260</v>
      </c>
      <c r="E3767" s="55" t="s">
        <v>6752</v>
      </c>
      <c r="F3767" s="55" t="s">
        <v>244</v>
      </c>
      <c r="G3767" s="55" t="s">
        <v>245</v>
      </c>
      <c r="H3767" s="50" t="s">
        <v>6753</v>
      </c>
    </row>
    <row r="3768" spans="1:62" x14ac:dyDescent="0.2">
      <c r="C3768" s="195">
        <v>44833</v>
      </c>
      <c r="D3768" s="55">
        <v>260</v>
      </c>
      <c r="E3768" s="55" t="s">
        <v>6754</v>
      </c>
      <c r="F3768" s="55" t="s">
        <v>231</v>
      </c>
      <c r="G3768" s="55" t="s">
        <v>435</v>
      </c>
      <c r="H3768" s="50" t="s">
        <v>6755</v>
      </c>
    </row>
    <row r="3769" spans="1:62" x14ac:dyDescent="0.2">
      <c r="C3769" s="195">
        <v>44823</v>
      </c>
      <c r="D3769" s="55">
        <v>280</v>
      </c>
      <c r="E3769" s="55" t="s">
        <v>6756</v>
      </c>
      <c r="F3769" s="55" t="s">
        <v>210</v>
      </c>
      <c r="G3769" s="55" t="s">
        <v>496</v>
      </c>
      <c r="H3769" s="50" t="s">
        <v>6757</v>
      </c>
    </row>
    <row r="3770" spans="1:62" x14ac:dyDescent="0.2">
      <c r="C3770" s="195">
        <v>44825</v>
      </c>
      <c r="D3770" s="55">
        <v>260</v>
      </c>
      <c r="E3770" s="55" t="s">
        <v>6758</v>
      </c>
      <c r="F3770" s="55" t="s">
        <v>231</v>
      </c>
      <c r="G3770" s="55" t="s">
        <v>435</v>
      </c>
      <c r="H3770" s="50" t="s">
        <v>224</v>
      </c>
    </row>
    <row r="3771" spans="1:62" x14ac:dyDescent="0.2">
      <c r="C3771" s="195">
        <v>44830</v>
      </c>
      <c r="D3771" s="55">
        <v>260</v>
      </c>
      <c r="E3771" s="55" t="s">
        <v>6759</v>
      </c>
      <c r="F3771" s="55" t="s">
        <v>210</v>
      </c>
      <c r="G3771" s="55" t="s">
        <v>235</v>
      </c>
      <c r="H3771" s="50" t="s">
        <v>6760</v>
      </c>
    </row>
    <row r="3772" spans="1:62" x14ac:dyDescent="0.2">
      <c r="A3772" s="57">
        <v>922</v>
      </c>
      <c r="B3772" t="s">
        <v>836</v>
      </c>
      <c r="C3772" s="195">
        <v>44818</v>
      </c>
      <c r="D3772" s="55">
        <v>260</v>
      </c>
      <c r="E3772" s="55" t="s">
        <v>6761</v>
      </c>
      <c r="F3772" s="55" t="s">
        <v>231</v>
      </c>
      <c r="G3772" s="55" t="s">
        <v>648</v>
      </c>
      <c r="H3772" s="50" t="s">
        <v>224</v>
      </c>
      <c r="I3772" s="46" t="s">
        <v>839</v>
      </c>
      <c r="J3772" s="52">
        <v>1</v>
      </c>
      <c r="K3772" s="52">
        <v>1</v>
      </c>
      <c r="O3772" s="1">
        <v>1</v>
      </c>
      <c r="S3772" s="1">
        <v>1</v>
      </c>
      <c r="W3772" s="1">
        <v>1</v>
      </c>
      <c r="AA3772" s="1">
        <v>1</v>
      </c>
      <c r="AG3772">
        <v>1</v>
      </c>
      <c r="AM3772">
        <v>1</v>
      </c>
      <c r="AN3772">
        <v>4</v>
      </c>
      <c r="AO3772">
        <v>4</v>
      </c>
      <c r="AP3772">
        <v>4</v>
      </c>
      <c r="AQ3772">
        <v>4</v>
      </c>
      <c r="AR3772">
        <v>4</v>
      </c>
      <c r="AS3772">
        <v>1</v>
      </c>
      <c r="AT3772">
        <v>1</v>
      </c>
      <c r="AU3772">
        <v>1</v>
      </c>
      <c r="AZ3772">
        <v>1</v>
      </c>
      <c r="BA3772">
        <v>4</v>
      </c>
      <c r="BB3772">
        <v>4</v>
      </c>
      <c r="BC3772">
        <v>4</v>
      </c>
      <c r="BD3772">
        <v>4</v>
      </c>
      <c r="BE3772">
        <v>1</v>
      </c>
      <c r="BJ3772">
        <v>1</v>
      </c>
    </row>
    <row r="3773" spans="1:62" x14ac:dyDescent="0.2">
      <c r="C3773" s="195">
        <v>44818</v>
      </c>
      <c r="D3773" s="55">
        <v>260</v>
      </c>
      <c r="E3773" s="55" t="s">
        <v>6762</v>
      </c>
      <c r="F3773" s="55" t="s">
        <v>267</v>
      </c>
      <c r="G3773" s="55" t="s">
        <v>268</v>
      </c>
      <c r="H3773" s="50" t="s">
        <v>6763</v>
      </c>
    </row>
    <row r="3774" spans="1:62" x14ac:dyDescent="0.2">
      <c r="C3774" s="195">
        <v>44812</v>
      </c>
      <c r="D3774" s="55">
        <v>260</v>
      </c>
      <c r="E3774" s="55" t="s">
        <v>6764</v>
      </c>
      <c r="F3774" s="55" t="s">
        <v>244</v>
      </c>
      <c r="G3774" s="55" t="s">
        <v>393</v>
      </c>
      <c r="H3774" s="50" t="s">
        <v>6765</v>
      </c>
    </row>
    <row r="3775" spans="1:62" x14ac:dyDescent="0.2">
      <c r="C3775" s="195">
        <v>44818</v>
      </c>
      <c r="D3775" s="55">
        <v>260</v>
      </c>
      <c r="E3775" s="55" t="s">
        <v>6766</v>
      </c>
      <c r="F3775" s="55" t="s">
        <v>196</v>
      </c>
      <c r="G3775" s="55" t="s">
        <v>361</v>
      </c>
      <c r="H3775" s="50" t="s">
        <v>6767</v>
      </c>
    </row>
    <row r="3776" spans="1:62" x14ac:dyDescent="0.2">
      <c r="C3776" s="195">
        <v>44834</v>
      </c>
      <c r="D3776" s="55">
        <v>260</v>
      </c>
      <c r="E3776" s="55" t="s">
        <v>6768</v>
      </c>
      <c r="F3776" s="55" t="s">
        <v>202</v>
      </c>
      <c r="G3776" s="55" t="s">
        <v>2033</v>
      </c>
      <c r="H3776" s="50" t="s">
        <v>224</v>
      </c>
    </row>
    <row r="3777" spans="1:9" x14ac:dyDescent="0.2">
      <c r="C3777" s="195">
        <v>44806</v>
      </c>
      <c r="D3777" s="55">
        <v>260</v>
      </c>
      <c r="E3777" s="55" t="s">
        <v>6769</v>
      </c>
      <c r="F3777" s="55" t="s">
        <v>390</v>
      </c>
      <c r="G3777" s="55" t="s">
        <v>391</v>
      </c>
      <c r="H3777" s="50" t="s">
        <v>224</v>
      </c>
    </row>
    <row r="3778" spans="1:9" x14ac:dyDescent="0.2">
      <c r="C3778" s="195">
        <v>44817</v>
      </c>
      <c r="D3778" s="55">
        <v>280</v>
      </c>
      <c r="E3778" s="55" t="s">
        <v>6770</v>
      </c>
      <c r="F3778" s="55" t="s">
        <v>219</v>
      </c>
      <c r="G3778" s="55" t="s">
        <v>540</v>
      </c>
      <c r="H3778" s="50" t="s">
        <v>6771</v>
      </c>
    </row>
    <row r="3779" spans="1:9" x14ac:dyDescent="0.2">
      <c r="C3779" s="195">
        <v>44817</v>
      </c>
      <c r="D3779" s="55">
        <v>280</v>
      </c>
      <c r="E3779" s="55" t="s">
        <v>6772</v>
      </c>
      <c r="F3779" s="55" t="s">
        <v>231</v>
      </c>
      <c r="G3779" s="55" t="s">
        <v>782</v>
      </c>
      <c r="H3779" s="50" t="s">
        <v>224</v>
      </c>
    </row>
    <row r="3780" spans="1:9" x14ac:dyDescent="0.2">
      <c r="C3780" s="195">
        <v>44834</v>
      </c>
      <c r="D3780" s="55">
        <v>280</v>
      </c>
      <c r="E3780" s="55" t="s">
        <v>6773</v>
      </c>
      <c r="F3780" s="55" t="s">
        <v>291</v>
      </c>
      <c r="G3780" s="55" t="s">
        <v>1247</v>
      </c>
      <c r="H3780" s="50" t="s">
        <v>6774</v>
      </c>
    </row>
    <row r="3781" spans="1:9" x14ac:dyDescent="0.2">
      <c r="C3781" s="195">
        <v>44827</v>
      </c>
      <c r="D3781" s="55">
        <v>280</v>
      </c>
      <c r="E3781" s="55" t="s">
        <v>6775</v>
      </c>
      <c r="F3781" s="55" t="s">
        <v>192</v>
      </c>
      <c r="G3781" s="55" t="s">
        <v>453</v>
      </c>
      <c r="H3781" s="50" t="s">
        <v>6776</v>
      </c>
    </row>
    <row r="3782" spans="1:9" x14ac:dyDescent="0.2">
      <c r="A3782" s="57">
        <v>922</v>
      </c>
      <c r="B3782" t="s">
        <v>836</v>
      </c>
      <c r="C3782" s="195">
        <v>44813</v>
      </c>
      <c r="D3782" s="55">
        <v>280</v>
      </c>
      <c r="E3782" s="55" t="s">
        <v>6777</v>
      </c>
      <c r="F3782" s="55" t="s">
        <v>263</v>
      </c>
      <c r="G3782" s="55" t="s">
        <v>633</v>
      </c>
      <c r="H3782" s="50" t="s">
        <v>224</v>
      </c>
      <c r="I3782" s="46" t="s">
        <v>837</v>
      </c>
    </row>
    <row r="3783" spans="1:9" x14ac:dyDescent="0.2">
      <c r="C3783" s="195">
        <v>44826</v>
      </c>
      <c r="D3783" s="55">
        <v>280</v>
      </c>
      <c r="E3783" s="55" t="s">
        <v>6778</v>
      </c>
      <c r="F3783" s="55" t="s">
        <v>202</v>
      </c>
      <c r="G3783" s="55" t="s">
        <v>2033</v>
      </c>
      <c r="H3783" s="50" t="s">
        <v>6779</v>
      </c>
    </row>
    <row r="3784" spans="1:9" x14ac:dyDescent="0.2">
      <c r="C3784" s="195">
        <v>44834</v>
      </c>
      <c r="D3784" s="55">
        <v>260</v>
      </c>
      <c r="E3784" s="55" t="s">
        <v>6780</v>
      </c>
      <c r="F3784" s="55" t="s">
        <v>244</v>
      </c>
      <c r="G3784" s="55" t="s">
        <v>2759</v>
      </c>
      <c r="H3784" s="50" t="s">
        <v>6781</v>
      </c>
    </row>
    <row r="3785" spans="1:9" x14ac:dyDescent="0.2">
      <c r="C3785" s="195">
        <v>44830</v>
      </c>
      <c r="D3785" s="55">
        <v>280</v>
      </c>
      <c r="E3785" s="55" t="s">
        <v>6782</v>
      </c>
      <c r="F3785" s="55" t="s">
        <v>244</v>
      </c>
      <c r="G3785" s="55" t="s">
        <v>294</v>
      </c>
      <c r="H3785" s="50" t="s">
        <v>6783</v>
      </c>
    </row>
    <row r="3786" spans="1:9" x14ac:dyDescent="0.2">
      <c r="C3786" s="195">
        <v>44820</v>
      </c>
      <c r="D3786" s="55">
        <v>260</v>
      </c>
      <c r="E3786" s="55" t="s">
        <v>6784</v>
      </c>
      <c r="F3786" s="55" t="s">
        <v>202</v>
      </c>
      <c r="G3786" s="55" t="s">
        <v>2033</v>
      </c>
      <c r="H3786" s="50" t="s">
        <v>224</v>
      </c>
    </row>
    <row r="3787" spans="1:9" x14ac:dyDescent="0.2">
      <c r="C3787" s="195">
        <v>44819</v>
      </c>
      <c r="D3787" s="55">
        <v>260</v>
      </c>
      <c r="E3787" s="55" t="s">
        <v>6785</v>
      </c>
      <c r="F3787" s="55" t="s">
        <v>272</v>
      </c>
      <c r="G3787" s="55" t="s">
        <v>683</v>
      </c>
      <c r="H3787" s="50" t="s">
        <v>224</v>
      </c>
    </row>
    <row r="3788" spans="1:9" x14ac:dyDescent="0.2">
      <c r="C3788" s="195">
        <v>44832</v>
      </c>
      <c r="D3788" s="55">
        <v>260</v>
      </c>
      <c r="E3788" s="55" t="s">
        <v>6786</v>
      </c>
      <c r="F3788" s="55" t="s">
        <v>267</v>
      </c>
      <c r="G3788" s="55" t="s">
        <v>442</v>
      </c>
      <c r="H3788" s="50" t="s">
        <v>6787</v>
      </c>
    </row>
    <row r="3789" spans="1:9" x14ac:dyDescent="0.2">
      <c r="C3789" s="195">
        <v>44831</v>
      </c>
      <c r="D3789" s="55">
        <v>260</v>
      </c>
      <c r="E3789" s="55" t="s">
        <v>6788</v>
      </c>
      <c r="F3789" s="55" t="s">
        <v>244</v>
      </c>
      <c r="G3789" s="55" t="s">
        <v>294</v>
      </c>
      <c r="H3789" s="50" t="s">
        <v>6789</v>
      </c>
    </row>
    <row r="3790" spans="1:9" x14ac:dyDescent="0.2">
      <c r="C3790" s="195">
        <v>44832</v>
      </c>
      <c r="D3790" s="55">
        <v>260</v>
      </c>
      <c r="E3790" s="55" t="s">
        <v>6790</v>
      </c>
      <c r="F3790" s="55" t="s">
        <v>263</v>
      </c>
      <c r="G3790" s="55" t="s">
        <v>426</v>
      </c>
      <c r="H3790" s="50" t="s">
        <v>6791</v>
      </c>
    </row>
    <row r="3791" spans="1:9" x14ac:dyDescent="0.2">
      <c r="A3791" s="57">
        <v>922</v>
      </c>
      <c r="B3791" t="s">
        <v>836</v>
      </c>
      <c r="C3791" s="195">
        <v>44818</v>
      </c>
      <c r="D3791" s="55">
        <v>280</v>
      </c>
      <c r="E3791" s="55" t="s">
        <v>6792</v>
      </c>
      <c r="F3791" s="55" t="s">
        <v>202</v>
      </c>
      <c r="G3791" s="55" t="s">
        <v>344</v>
      </c>
      <c r="H3791" s="50" t="s">
        <v>224</v>
      </c>
      <c r="I3791" s="46" t="s">
        <v>837</v>
      </c>
    </row>
    <row r="3792" spans="1:9" x14ac:dyDescent="0.2">
      <c r="C3792" s="195">
        <v>44834</v>
      </c>
      <c r="D3792" s="55">
        <v>280</v>
      </c>
      <c r="E3792" s="55" t="s">
        <v>6793</v>
      </c>
      <c r="F3792" s="55" t="s">
        <v>272</v>
      </c>
      <c r="G3792" s="55" t="s">
        <v>366</v>
      </c>
      <c r="H3792" s="50" t="s">
        <v>6794</v>
      </c>
    </row>
    <row r="3793" spans="1:9" x14ac:dyDescent="0.2">
      <c r="C3793" s="195">
        <v>44811</v>
      </c>
      <c r="D3793" s="55">
        <v>280</v>
      </c>
      <c r="E3793" s="55" t="s">
        <v>6795</v>
      </c>
      <c r="F3793" s="55" t="s">
        <v>192</v>
      </c>
      <c r="G3793" s="55" t="s">
        <v>563</v>
      </c>
      <c r="H3793" s="50" t="s">
        <v>224</v>
      </c>
    </row>
    <row r="3794" spans="1:9" x14ac:dyDescent="0.2">
      <c r="C3794" s="195">
        <v>44834</v>
      </c>
      <c r="D3794" s="55">
        <v>280</v>
      </c>
      <c r="E3794" s="55" t="s">
        <v>6796</v>
      </c>
      <c r="F3794" s="55" t="s">
        <v>202</v>
      </c>
      <c r="G3794" s="55" t="s">
        <v>203</v>
      </c>
      <c r="H3794" s="50" t="s">
        <v>6797</v>
      </c>
    </row>
    <row r="3795" spans="1:9" x14ac:dyDescent="0.2">
      <c r="C3795" s="195">
        <v>44817</v>
      </c>
      <c r="D3795" s="55">
        <v>280</v>
      </c>
      <c r="E3795" s="55" t="s">
        <v>6798</v>
      </c>
      <c r="F3795" s="55" t="s">
        <v>202</v>
      </c>
      <c r="G3795" s="55" t="s">
        <v>203</v>
      </c>
      <c r="H3795" s="50" t="s">
        <v>6799</v>
      </c>
    </row>
    <row r="3796" spans="1:9" x14ac:dyDescent="0.2">
      <c r="C3796" s="195">
        <v>44818</v>
      </c>
      <c r="D3796" s="55">
        <v>260</v>
      </c>
      <c r="E3796" s="55" t="s">
        <v>6800</v>
      </c>
      <c r="F3796" s="55" t="s">
        <v>196</v>
      </c>
      <c r="G3796" s="55" t="s">
        <v>349</v>
      </c>
      <c r="H3796" s="50" t="s">
        <v>6801</v>
      </c>
    </row>
    <row r="3797" spans="1:9" x14ac:dyDescent="0.2">
      <c r="C3797" s="195">
        <v>44827</v>
      </c>
      <c r="D3797" s="55">
        <v>280</v>
      </c>
      <c r="E3797" s="55" t="s">
        <v>6802</v>
      </c>
      <c r="F3797" s="55" t="s">
        <v>231</v>
      </c>
      <c r="G3797" s="55" t="s">
        <v>435</v>
      </c>
      <c r="H3797" s="50" t="s">
        <v>6803</v>
      </c>
    </row>
    <row r="3798" spans="1:9" x14ac:dyDescent="0.2">
      <c r="C3798" s="195">
        <v>44813</v>
      </c>
      <c r="D3798" s="55">
        <v>280</v>
      </c>
      <c r="E3798" s="55" t="s">
        <v>6804</v>
      </c>
      <c r="F3798" s="55" t="s">
        <v>210</v>
      </c>
      <c r="G3798" s="55" t="s">
        <v>306</v>
      </c>
      <c r="H3798" s="50" t="s">
        <v>6805</v>
      </c>
    </row>
    <row r="3799" spans="1:9" x14ac:dyDescent="0.2">
      <c r="C3799" s="195">
        <v>44824</v>
      </c>
      <c r="D3799" s="55">
        <v>260</v>
      </c>
      <c r="E3799" s="55" t="s">
        <v>6806</v>
      </c>
      <c r="F3799" s="55" t="s">
        <v>267</v>
      </c>
      <c r="G3799" s="55" t="s">
        <v>1109</v>
      </c>
      <c r="H3799" s="50" t="s">
        <v>6807</v>
      </c>
    </row>
    <row r="3800" spans="1:9" x14ac:dyDescent="0.2">
      <c r="A3800" s="57">
        <v>922</v>
      </c>
      <c r="B3800" t="s">
        <v>836</v>
      </c>
      <c r="C3800" s="195">
        <v>44806</v>
      </c>
      <c r="D3800" s="55">
        <v>260</v>
      </c>
      <c r="E3800" s="55" t="s">
        <v>6808</v>
      </c>
      <c r="F3800" s="55" t="s">
        <v>272</v>
      </c>
      <c r="G3800" s="55" t="s">
        <v>1914</v>
      </c>
      <c r="H3800" s="50" t="s">
        <v>224</v>
      </c>
      <c r="I3800" s="46" t="s">
        <v>837</v>
      </c>
    </row>
    <row r="3801" spans="1:9" x14ac:dyDescent="0.2">
      <c r="C3801" s="195">
        <v>44820</v>
      </c>
      <c r="D3801" s="55">
        <v>260</v>
      </c>
      <c r="E3801" s="55" t="s">
        <v>6809</v>
      </c>
      <c r="F3801" s="55" t="s">
        <v>202</v>
      </c>
      <c r="G3801" s="55" t="s">
        <v>2033</v>
      </c>
      <c r="H3801" s="50" t="s">
        <v>6810</v>
      </c>
    </row>
    <row r="3802" spans="1:9" x14ac:dyDescent="0.2">
      <c r="C3802" s="195">
        <v>44823</v>
      </c>
      <c r="D3802" s="55">
        <v>260</v>
      </c>
      <c r="E3802" s="55" t="s">
        <v>6811</v>
      </c>
      <c r="F3802" s="55" t="s">
        <v>267</v>
      </c>
      <c r="G3802" s="55" t="s">
        <v>535</v>
      </c>
      <c r="H3802" s="50" t="s">
        <v>6812</v>
      </c>
    </row>
    <row r="3803" spans="1:9" x14ac:dyDescent="0.2">
      <c r="C3803" s="195">
        <v>44834</v>
      </c>
      <c r="D3803" s="55">
        <v>260</v>
      </c>
      <c r="E3803" s="55" t="s">
        <v>6813</v>
      </c>
      <c r="F3803" s="55" t="s">
        <v>244</v>
      </c>
      <c r="G3803" s="55" t="s">
        <v>2759</v>
      </c>
      <c r="H3803" s="50" t="s">
        <v>6814</v>
      </c>
    </row>
    <row r="3804" spans="1:9" x14ac:dyDescent="0.2">
      <c r="C3804" s="195">
        <v>44827</v>
      </c>
      <c r="D3804" s="55">
        <v>260</v>
      </c>
      <c r="E3804" s="55" t="s">
        <v>6815</v>
      </c>
      <c r="F3804" s="55" t="s">
        <v>219</v>
      </c>
      <c r="G3804" s="55" t="s">
        <v>223</v>
      </c>
      <c r="H3804" s="50" t="s">
        <v>6816</v>
      </c>
    </row>
    <row r="3805" spans="1:9" x14ac:dyDescent="0.2">
      <c r="C3805" s="195">
        <v>44819</v>
      </c>
      <c r="D3805" s="55">
        <v>280</v>
      </c>
      <c r="E3805" s="55" t="s">
        <v>6817</v>
      </c>
      <c r="F3805" s="55" t="s">
        <v>231</v>
      </c>
      <c r="G3805" s="55" t="s">
        <v>255</v>
      </c>
      <c r="H3805" s="50" t="s">
        <v>224</v>
      </c>
    </row>
    <row r="3806" spans="1:9" x14ac:dyDescent="0.2">
      <c r="C3806" s="195">
        <v>44806</v>
      </c>
      <c r="D3806" s="55">
        <v>260</v>
      </c>
      <c r="E3806" s="55" t="s">
        <v>6818</v>
      </c>
      <c r="F3806" s="55" t="s">
        <v>263</v>
      </c>
      <c r="G3806" s="55" t="s">
        <v>264</v>
      </c>
      <c r="H3806" s="50" t="s">
        <v>6819</v>
      </c>
    </row>
    <row r="3807" spans="1:9" x14ac:dyDescent="0.2">
      <c r="C3807" s="195">
        <v>44826</v>
      </c>
      <c r="D3807" s="55">
        <v>280</v>
      </c>
      <c r="E3807" s="55" t="s">
        <v>6820</v>
      </c>
      <c r="F3807" s="55" t="s">
        <v>231</v>
      </c>
      <c r="G3807" s="55" t="s">
        <v>1241</v>
      </c>
      <c r="H3807" s="50" t="s">
        <v>6821</v>
      </c>
    </row>
    <row r="3808" spans="1:9" x14ac:dyDescent="0.2">
      <c r="C3808" s="195">
        <v>44834</v>
      </c>
      <c r="D3808" s="55">
        <v>260</v>
      </c>
      <c r="E3808" s="55" t="s">
        <v>6822</v>
      </c>
      <c r="F3808" s="55" t="s">
        <v>263</v>
      </c>
      <c r="G3808" s="55" t="s">
        <v>1113</v>
      </c>
    </row>
    <row r="3809" spans="1:62" x14ac:dyDescent="0.2">
      <c r="C3809" s="195">
        <v>44811</v>
      </c>
      <c r="D3809" s="55">
        <v>280</v>
      </c>
      <c r="E3809" s="55" t="s">
        <v>6823</v>
      </c>
      <c r="F3809" s="55" t="s">
        <v>390</v>
      </c>
      <c r="G3809" s="55" t="s">
        <v>590</v>
      </c>
      <c r="H3809" s="50" t="s">
        <v>6824</v>
      </c>
    </row>
    <row r="3810" spans="1:62" x14ac:dyDescent="0.2">
      <c r="C3810" s="195">
        <v>44811</v>
      </c>
      <c r="D3810" s="55">
        <v>260</v>
      </c>
      <c r="E3810" s="55" t="s">
        <v>6825</v>
      </c>
      <c r="F3810" s="55" t="s">
        <v>390</v>
      </c>
      <c r="G3810" s="55" t="s">
        <v>922</v>
      </c>
      <c r="H3810" s="50" t="s">
        <v>6826</v>
      </c>
    </row>
    <row r="3811" spans="1:62" x14ac:dyDescent="0.2">
      <c r="C3811" s="195">
        <v>44832</v>
      </c>
      <c r="D3811" s="55">
        <v>260</v>
      </c>
      <c r="E3811" s="55" t="s">
        <v>6827</v>
      </c>
      <c r="F3811" s="55" t="s">
        <v>244</v>
      </c>
      <c r="G3811" s="55" t="s">
        <v>696</v>
      </c>
      <c r="H3811" s="50" t="s">
        <v>6828</v>
      </c>
    </row>
    <row r="3812" spans="1:62" x14ac:dyDescent="0.2">
      <c r="C3812" s="195">
        <v>44824</v>
      </c>
      <c r="D3812" s="55">
        <v>280</v>
      </c>
      <c r="E3812" s="55" t="s">
        <v>6829</v>
      </c>
      <c r="F3812" s="55" t="s">
        <v>192</v>
      </c>
      <c r="G3812" s="55" t="s">
        <v>563</v>
      </c>
      <c r="H3812" s="50" t="s">
        <v>6830</v>
      </c>
    </row>
    <row r="3813" spans="1:62" x14ac:dyDescent="0.2">
      <c r="C3813" s="195">
        <v>44826</v>
      </c>
      <c r="D3813" s="55">
        <v>280</v>
      </c>
      <c r="E3813" s="55" t="s">
        <v>6831</v>
      </c>
      <c r="F3813" s="55" t="s">
        <v>231</v>
      </c>
      <c r="G3813" s="55" t="s">
        <v>1098</v>
      </c>
      <c r="H3813" s="50" t="s">
        <v>6832</v>
      </c>
    </row>
    <row r="3814" spans="1:62" x14ac:dyDescent="0.2">
      <c r="C3814" s="195">
        <v>44827</v>
      </c>
      <c r="D3814" s="55">
        <v>280</v>
      </c>
      <c r="E3814" s="55" t="s">
        <v>6833</v>
      </c>
      <c r="F3814" s="55" t="s">
        <v>196</v>
      </c>
      <c r="G3814" s="55" t="s">
        <v>352</v>
      </c>
      <c r="H3814" s="50" t="s">
        <v>6834</v>
      </c>
    </row>
    <row r="3815" spans="1:62" x14ac:dyDescent="0.2">
      <c r="C3815" s="195">
        <v>44823</v>
      </c>
      <c r="D3815" s="55">
        <v>260</v>
      </c>
      <c r="E3815" s="55" t="s">
        <v>6835</v>
      </c>
      <c r="F3815" s="55" t="s">
        <v>206</v>
      </c>
      <c r="G3815" s="55" t="s">
        <v>676</v>
      </c>
      <c r="H3815" s="50" t="s">
        <v>6836</v>
      </c>
    </row>
    <row r="3816" spans="1:62" x14ac:dyDescent="0.2">
      <c r="C3816" s="195">
        <v>44810</v>
      </c>
      <c r="D3816" s="55">
        <v>260</v>
      </c>
      <c r="E3816" s="55" t="s">
        <v>6837</v>
      </c>
      <c r="F3816" s="55" t="s">
        <v>210</v>
      </c>
      <c r="G3816" s="55" t="s">
        <v>211</v>
      </c>
      <c r="H3816" s="50" t="s">
        <v>6838</v>
      </c>
    </row>
    <row r="3817" spans="1:62" x14ac:dyDescent="0.2">
      <c r="A3817" s="57">
        <v>922</v>
      </c>
      <c r="B3817" t="s">
        <v>836</v>
      </c>
      <c r="C3817" s="195">
        <v>44834</v>
      </c>
      <c r="D3817" s="55">
        <v>260</v>
      </c>
      <c r="E3817" s="55" t="s">
        <v>6839</v>
      </c>
      <c r="F3817" s="55" t="s">
        <v>390</v>
      </c>
      <c r="G3817" s="55" t="s">
        <v>922</v>
      </c>
      <c r="H3817" s="50" t="s">
        <v>6840</v>
      </c>
      <c r="I3817" s="46" t="s">
        <v>839</v>
      </c>
      <c r="J3817" s="52">
        <v>3</v>
      </c>
      <c r="K3817" s="52">
        <v>3</v>
      </c>
      <c r="L3817" s="52">
        <v>1</v>
      </c>
      <c r="M3817" s="52">
        <v>3</v>
      </c>
      <c r="N3817" s="52">
        <v>3</v>
      </c>
      <c r="O3817" s="52">
        <v>1</v>
      </c>
      <c r="S3817" s="1">
        <v>5</v>
      </c>
      <c r="W3817" s="1">
        <v>5</v>
      </c>
      <c r="AA3817" s="1">
        <v>5</v>
      </c>
      <c r="AG3817">
        <v>5</v>
      </c>
      <c r="AM3817">
        <v>5</v>
      </c>
      <c r="AS3817">
        <v>5</v>
      </c>
      <c r="AT3817">
        <v>5</v>
      </c>
      <c r="AU3817">
        <v>5</v>
      </c>
      <c r="AZ3817">
        <v>5</v>
      </c>
      <c r="BA3817">
        <v>4</v>
      </c>
      <c r="BB3817">
        <v>4</v>
      </c>
      <c r="BC3817">
        <v>4</v>
      </c>
      <c r="BD3817">
        <v>4</v>
      </c>
      <c r="BE3817">
        <v>5</v>
      </c>
      <c r="BJ3817">
        <v>5</v>
      </c>
    </row>
    <row r="3818" spans="1:62" x14ac:dyDescent="0.2">
      <c r="C3818" s="195">
        <v>44825</v>
      </c>
      <c r="D3818" s="55">
        <v>280</v>
      </c>
      <c r="E3818" s="55" t="s">
        <v>6841</v>
      </c>
      <c r="F3818" s="55" t="s">
        <v>390</v>
      </c>
      <c r="G3818" s="55" t="s">
        <v>1717</v>
      </c>
      <c r="H3818" s="50" t="s">
        <v>224</v>
      </c>
    </row>
    <row r="3819" spans="1:62" x14ac:dyDescent="0.2">
      <c r="C3819" s="195">
        <v>44825</v>
      </c>
      <c r="D3819" s="55">
        <v>260</v>
      </c>
      <c r="E3819" s="55" t="s">
        <v>6842</v>
      </c>
      <c r="F3819" s="55" t="s">
        <v>231</v>
      </c>
      <c r="G3819" s="55" t="s">
        <v>782</v>
      </c>
      <c r="H3819" s="50" t="s">
        <v>6843</v>
      </c>
    </row>
    <row r="3820" spans="1:62" x14ac:dyDescent="0.2">
      <c r="C3820" s="195">
        <v>44824</v>
      </c>
      <c r="D3820" s="55">
        <v>280</v>
      </c>
      <c r="E3820" s="55" t="s">
        <v>6844</v>
      </c>
      <c r="F3820" s="55" t="s">
        <v>390</v>
      </c>
      <c r="G3820" s="55" t="s">
        <v>490</v>
      </c>
      <c r="H3820" s="50" t="s">
        <v>6845</v>
      </c>
    </row>
    <row r="3821" spans="1:62" x14ac:dyDescent="0.2">
      <c r="C3821" s="195">
        <v>44813</v>
      </c>
      <c r="D3821" s="55">
        <v>260</v>
      </c>
      <c r="E3821" s="55" t="s">
        <v>6846</v>
      </c>
      <c r="F3821" s="55" t="s">
        <v>219</v>
      </c>
      <c r="G3821" s="55" t="s">
        <v>540</v>
      </c>
      <c r="H3821" s="50" t="s">
        <v>6847</v>
      </c>
    </row>
    <row r="3822" spans="1:62" x14ac:dyDescent="0.2">
      <c r="C3822" s="195">
        <v>44823</v>
      </c>
      <c r="D3822" s="55">
        <v>280</v>
      </c>
      <c r="E3822" s="55" t="s">
        <v>6848</v>
      </c>
      <c r="F3822" s="55" t="s">
        <v>291</v>
      </c>
      <c r="G3822" s="55" t="s">
        <v>1247</v>
      </c>
      <c r="H3822" s="50" t="s">
        <v>6849</v>
      </c>
    </row>
    <row r="3823" spans="1:62" x14ac:dyDescent="0.2">
      <c r="C3823" s="195">
        <v>44820</v>
      </c>
      <c r="D3823" s="55">
        <v>260</v>
      </c>
      <c r="E3823" s="55" t="s">
        <v>6850</v>
      </c>
      <c r="F3823" s="55" t="s">
        <v>267</v>
      </c>
      <c r="G3823" s="55" t="s">
        <v>535</v>
      </c>
      <c r="H3823" s="50" t="s">
        <v>224</v>
      </c>
    </row>
    <row r="3824" spans="1:62" x14ac:dyDescent="0.2">
      <c r="C3824" s="195">
        <v>44813</v>
      </c>
      <c r="D3824" s="55">
        <v>260</v>
      </c>
      <c r="E3824" s="55" t="s">
        <v>6851</v>
      </c>
      <c r="F3824" s="55" t="s">
        <v>202</v>
      </c>
      <c r="G3824" s="55" t="s">
        <v>203</v>
      </c>
      <c r="H3824" s="50" t="s">
        <v>6852</v>
      </c>
    </row>
    <row r="3825" spans="1:9" x14ac:dyDescent="0.2">
      <c r="C3825" s="195">
        <v>44816</v>
      </c>
      <c r="D3825" s="55">
        <v>280</v>
      </c>
      <c r="E3825" s="55" t="s">
        <v>6853</v>
      </c>
      <c r="F3825" s="55" t="s">
        <v>231</v>
      </c>
      <c r="G3825" s="55" t="s">
        <v>435</v>
      </c>
      <c r="H3825" s="50" t="s">
        <v>6854</v>
      </c>
    </row>
    <row r="3826" spans="1:9" x14ac:dyDescent="0.2">
      <c r="C3826" s="195">
        <v>44824</v>
      </c>
      <c r="D3826" s="55">
        <v>260</v>
      </c>
      <c r="E3826" s="55" t="s">
        <v>6855</v>
      </c>
      <c r="F3826" s="55" t="s">
        <v>202</v>
      </c>
      <c r="G3826" s="55" t="s">
        <v>302</v>
      </c>
      <c r="H3826" s="50" t="s">
        <v>6856</v>
      </c>
    </row>
    <row r="3827" spans="1:9" x14ac:dyDescent="0.2">
      <c r="C3827" s="195">
        <v>44813</v>
      </c>
      <c r="D3827" s="55">
        <v>280</v>
      </c>
      <c r="E3827" s="55" t="s">
        <v>6857</v>
      </c>
      <c r="F3827" s="55" t="s">
        <v>196</v>
      </c>
      <c r="G3827" s="55" t="s">
        <v>352</v>
      </c>
      <c r="H3827" s="50" t="s">
        <v>6858</v>
      </c>
    </row>
    <row r="3828" spans="1:9" x14ac:dyDescent="0.2">
      <c r="C3828" s="195">
        <v>44817</v>
      </c>
      <c r="D3828" s="55">
        <v>280</v>
      </c>
      <c r="E3828" s="55" t="s">
        <v>6859</v>
      </c>
      <c r="F3828" s="55" t="s">
        <v>231</v>
      </c>
      <c r="G3828" s="55" t="s">
        <v>2088</v>
      </c>
      <c r="H3828" s="50" t="s">
        <v>6860</v>
      </c>
    </row>
    <row r="3829" spans="1:9" x14ac:dyDescent="0.2">
      <c r="C3829" s="195">
        <v>44834</v>
      </c>
      <c r="D3829" s="55">
        <v>260</v>
      </c>
      <c r="E3829" s="55" t="s">
        <v>6861</v>
      </c>
      <c r="F3829" s="55" t="s">
        <v>244</v>
      </c>
      <c r="G3829" s="55" t="s">
        <v>245</v>
      </c>
      <c r="H3829" s="50" t="s">
        <v>6862</v>
      </c>
    </row>
    <row r="3830" spans="1:9" x14ac:dyDescent="0.2">
      <c r="C3830" s="195">
        <v>44827</v>
      </c>
      <c r="D3830" s="55">
        <v>260</v>
      </c>
      <c r="E3830" s="55" t="s">
        <v>6863</v>
      </c>
      <c r="F3830" s="55" t="s">
        <v>244</v>
      </c>
      <c r="G3830" s="55" t="s">
        <v>393</v>
      </c>
      <c r="H3830" s="50" t="s">
        <v>6864</v>
      </c>
    </row>
    <row r="3831" spans="1:9" x14ac:dyDescent="0.2">
      <c r="A3831" s="57">
        <v>922</v>
      </c>
      <c r="B3831" t="s">
        <v>836</v>
      </c>
      <c r="C3831" s="195">
        <v>44820</v>
      </c>
      <c r="D3831" s="55">
        <v>280</v>
      </c>
      <c r="E3831" s="55" t="s">
        <v>6865</v>
      </c>
      <c r="F3831" s="55" t="s">
        <v>202</v>
      </c>
      <c r="G3831" s="55" t="s">
        <v>276</v>
      </c>
      <c r="I3831" s="46" t="s">
        <v>837</v>
      </c>
    </row>
    <row r="3832" spans="1:9" x14ac:dyDescent="0.2">
      <c r="C3832" s="195">
        <v>44830</v>
      </c>
      <c r="D3832" s="55">
        <v>260</v>
      </c>
      <c r="E3832" s="55" t="s">
        <v>6866</v>
      </c>
      <c r="F3832" s="55" t="s">
        <v>210</v>
      </c>
      <c r="G3832" s="55" t="s">
        <v>235</v>
      </c>
      <c r="H3832" s="50" t="s">
        <v>6867</v>
      </c>
    </row>
    <row r="3833" spans="1:9" x14ac:dyDescent="0.2">
      <c r="C3833" s="195">
        <v>44832</v>
      </c>
      <c r="D3833" s="55">
        <v>280</v>
      </c>
      <c r="E3833" s="55" t="s">
        <v>6868</v>
      </c>
      <c r="F3833" s="55" t="s">
        <v>192</v>
      </c>
      <c r="G3833" s="55" t="s">
        <v>487</v>
      </c>
      <c r="H3833" s="50" t="s">
        <v>6869</v>
      </c>
    </row>
    <row r="3834" spans="1:9" x14ac:dyDescent="0.2">
      <c r="C3834" s="195">
        <v>44830</v>
      </c>
      <c r="D3834" s="55">
        <v>280</v>
      </c>
      <c r="E3834" s="55" t="s">
        <v>6870</v>
      </c>
      <c r="F3834" s="55" t="s">
        <v>244</v>
      </c>
      <c r="G3834" s="55" t="s">
        <v>378</v>
      </c>
      <c r="H3834" s="50" t="s">
        <v>6871</v>
      </c>
    </row>
    <row r="3835" spans="1:9" x14ac:dyDescent="0.2">
      <c r="C3835" s="195">
        <v>44830</v>
      </c>
      <c r="D3835" s="55">
        <v>260</v>
      </c>
      <c r="E3835" s="55" t="s">
        <v>6872</v>
      </c>
      <c r="F3835" s="55" t="s">
        <v>244</v>
      </c>
      <c r="G3835" s="55" t="s">
        <v>245</v>
      </c>
      <c r="H3835" s="50" t="s">
        <v>6873</v>
      </c>
    </row>
    <row r="3836" spans="1:9" x14ac:dyDescent="0.2">
      <c r="C3836" s="195">
        <v>44831</v>
      </c>
      <c r="D3836" s="55">
        <v>280</v>
      </c>
      <c r="E3836" s="55" t="s">
        <v>6874</v>
      </c>
      <c r="F3836" s="55" t="s">
        <v>272</v>
      </c>
      <c r="G3836" s="55" t="s">
        <v>1040</v>
      </c>
      <c r="H3836" s="50" t="s">
        <v>6875</v>
      </c>
    </row>
    <row r="3837" spans="1:9" x14ac:dyDescent="0.2">
      <c r="C3837" s="195">
        <v>44812</v>
      </c>
      <c r="D3837" s="55">
        <v>280</v>
      </c>
      <c r="E3837" s="55" t="s">
        <v>6876</v>
      </c>
      <c r="F3837" s="55" t="s">
        <v>244</v>
      </c>
      <c r="G3837" s="55" t="s">
        <v>245</v>
      </c>
      <c r="H3837" s="50" t="s">
        <v>6877</v>
      </c>
    </row>
    <row r="3838" spans="1:9" x14ac:dyDescent="0.2">
      <c r="C3838" s="195">
        <v>44817</v>
      </c>
      <c r="D3838" s="55">
        <v>260</v>
      </c>
      <c r="E3838" s="55" t="s">
        <v>6878</v>
      </c>
      <c r="F3838" s="55" t="s">
        <v>390</v>
      </c>
      <c r="G3838" s="55" t="s">
        <v>870</v>
      </c>
      <c r="H3838" s="50" t="s">
        <v>6879</v>
      </c>
    </row>
    <row r="3839" spans="1:9" x14ac:dyDescent="0.2">
      <c r="C3839" s="195">
        <v>44810</v>
      </c>
      <c r="D3839" s="55">
        <v>260</v>
      </c>
      <c r="E3839" s="55" t="s">
        <v>6880</v>
      </c>
      <c r="F3839" s="55" t="s">
        <v>202</v>
      </c>
      <c r="G3839" s="55" t="s">
        <v>203</v>
      </c>
      <c r="H3839" s="50" t="s">
        <v>6881</v>
      </c>
    </row>
    <row r="3840" spans="1:9" x14ac:dyDescent="0.2">
      <c r="C3840" s="195">
        <v>44832</v>
      </c>
      <c r="D3840" s="55">
        <v>280</v>
      </c>
      <c r="E3840" s="55" t="s">
        <v>6882</v>
      </c>
      <c r="F3840" s="55" t="s">
        <v>210</v>
      </c>
      <c r="G3840" s="55" t="s">
        <v>235</v>
      </c>
      <c r="H3840" s="50" t="s">
        <v>6883</v>
      </c>
    </row>
    <row r="3841" spans="1:62" x14ac:dyDescent="0.2">
      <c r="C3841" s="195">
        <v>44834</v>
      </c>
      <c r="D3841" s="55">
        <v>260</v>
      </c>
      <c r="E3841" s="55" t="s">
        <v>6884</v>
      </c>
      <c r="F3841" s="55" t="s">
        <v>263</v>
      </c>
      <c r="G3841" s="55" t="s">
        <v>1113</v>
      </c>
      <c r="H3841" s="50" t="s">
        <v>6885</v>
      </c>
    </row>
    <row r="3842" spans="1:62" x14ac:dyDescent="0.2">
      <c r="C3842" s="195">
        <v>44811</v>
      </c>
      <c r="D3842" s="55">
        <v>280</v>
      </c>
      <c r="E3842" s="55" t="s">
        <v>6886</v>
      </c>
      <c r="F3842" s="55" t="s">
        <v>192</v>
      </c>
      <c r="G3842" s="55" t="s">
        <v>563</v>
      </c>
      <c r="H3842" s="50" t="s">
        <v>6887</v>
      </c>
    </row>
    <row r="3843" spans="1:62" x14ac:dyDescent="0.2">
      <c r="C3843" s="195">
        <v>44818</v>
      </c>
      <c r="D3843" s="55">
        <v>260</v>
      </c>
      <c r="E3843" s="55" t="s">
        <v>6888</v>
      </c>
      <c r="F3843" s="55" t="s">
        <v>196</v>
      </c>
      <c r="G3843" s="55" t="s">
        <v>349</v>
      </c>
      <c r="H3843" s="50" t="s">
        <v>224</v>
      </c>
    </row>
    <row r="3844" spans="1:62" x14ac:dyDescent="0.2">
      <c r="A3844" s="57">
        <v>922</v>
      </c>
      <c r="B3844" t="s">
        <v>836</v>
      </c>
      <c r="C3844" s="195">
        <v>44820</v>
      </c>
      <c r="D3844" s="55">
        <v>280</v>
      </c>
      <c r="E3844" s="55" t="s">
        <v>6889</v>
      </c>
      <c r="F3844" s="55" t="s">
        <v>192</v>
      </c>
      <c r="G3844" s="55" t="s">
        <v>453</v>
      </c>
      <c r="H3844" s="50" t="s">
        <v>224</v>
      </c>
      <c r="I3844" s="46" t="s">
        <v>837</v>
      </c>
    </row>
    <row r="3845" spans="1:62" x14ac:dyDescent="0.2">
      <c r="C3845" s="195">
        <v>44833</v>
      </c>
      <c r="D3845" s="55">
        <v>280</v>
      </c>
      <c r="E3845" s="55" t="s">
        <v>6890</v>
      </c>
      <c r="F3845" s="55" t="s">
        <v>231</v>
      </c>
      <c r="G3845" s="55" t="s">
        <v>648</v>
      </c>
      <c r="H3845" s="50" t="s">
        <v>6891</v>
      </c>
    </row>
    <row r="3846" spans="1:62" x14ac:dyDescent="0.2">
      <c r="C3846" s="195">
        <v>44820</v>
      </c>
      <c r="D3846" s="55">
        <v>260</v>
      </c>
      <c r="E3846" s="55" t="s">
        <v>6892</v>
      </c>
      <c r="F3846" s="55" t="s">
        <v>231</v>
      </c>
      <c r="G3846" s="55" t="s">
        <v>421</v>
      </c>
      <c r="H3846" s="50" t="s">
        <v>6893</v>
      </c>
    </row>
    <row r="3847" spans="1:62" x14ac:dyDescent="0.2">
      <c r="C3847" s="195">
        <v>44834</v>
      </c>
      <c r="D3847" s="55">
        <v>260</v>
      </c>
      <c r="E3847" s="55" t="s">
        <v>6894</v>
      </c>
      <c r="F3847" s="55" t="s">
        <v>390</v>
      </c>
      <c r="G3847" s="55" t="s">
        <v>656</v>
      </c>
      <c r="H3847" s="50" t="s">
        <v>6895</v>
      </c>
    </row>
    <row r="3848" spans="1:62" x14ac:dyDescent="0.2">
      <c r="C3848" s="195">
        <v>44819</v>
      </c>
      <c r="D3848" s="55">
        <v>280</v>
      </c>
      <c r="E3848" s="55" t="s">
        <v>6896</v>
      </c>
      <c r="F3848" s="55" t="s">
        <v>196</v>
      </c>
      <c r="G3848" s="55" t="s">
        <v>3889</v>
      </c>
      <c r="H3848" s="50" t="s">
        <v>6897</v>
      </c>
    </row>
    <row r="3849" spans="1:62" x14ac:dyDescent="0.2">
      <c r="C3849" s="195">
        <v>44813</v>
      </c>
      <c r="D3849" s="55">
        <v>260</v>
      </c>
      <c r="E3849" s="55" t="s">
        <v>6898</v>
      </c>
      <c r="F3849" s="55" t="s">
        <v>219</v>
      </c>
      <c r="G3849" s="55" t="s">
        <v>223</v>
      </c>
      <c r="H3849" s="50" t="s">
        <v>6899</v>
      </c>
    </row>
    <row r="3850" spans="1:62" x14ac:dyDescent="0.2">
      <c r="A3850" s="57">
        <v>922</v>
      </c>
      <c r="B3850" t="s">
        <v>836</v>
      </c>
      <c r="C3850" s="195">
        <v>44813</v>
      </c>
      <c r="D3850" s="55">
        <v>260</v>
      </c>
      <c r="E3850" s="55" t="s">
        <v>6900</v>
      </c>
      <c r="F3850" s="55" t="s">
        <v>202</v>
      </c>
      <c r="G3850" s="55" t="s">
        <v>203</v>
      </c>
      <c r="I3850" s="46" t="s">
        <v>839</v>
      </c>
      <c r="J3850" s="52">
        <v>1</v>
      </c>
      <c r="K3850" s="52">
        <v>1</v>
      </c>
      <c r="O3850" s="1">
        <v>1</v>
      </c>
      <c r="S3850" s="1">
        <v>1</v>
      </c>
      <c r="W3850" s="1">
        <v>1</v>
      </c>
      <c r="AA3850" s="1">
        <v>1</v>
      </c>
      <c r="AG3850">
        <v>2</v>
      </c>
      <c r="AM3850">
        <v>5</v>
      </c>
      <c r="AS3850">
        <v>4</v>
      </c>
      <c r="AT3850">
        <v>1</v>
      </c>
      <c r="AU3850">
        <v>1</v>
      </c>
      <c r="AZ3850">
        <v>1</v>
      </c>
      <c r="BA3850">
        <v>1</v>
      </c>
      <c r="BB3850">
        <v>1</v>
      </c>
      <c r="BC3850">
        <v>3</v>
      </c>
      <c r="BD3850">
        <v>1</v>
      </c>
      <c r="BE3850">
        <v>1</v>
      </c>
      <c r="BJ3850">
        <v>5</v>
      </c>
    </row>
    <row r="3851" spans="1:62" x14ac:dyDescent="0.2">
      <c r="C3851" s="195">
        <v>44834</v>
      </c>
      <c r="D3851" s="55">
        <v>260</v>
      </c>
      <c r="E3851" s="55" t="s">
        <v>6901</v>
      </c>
      <c r="F3851" s="55" t="s">
        <v>219</v>
      </c>
      <c r="G3851" s="55" t="s">
        <v>540</v>
      </c>
      <c r="H3851" s="50" t="s">
        <v>6902</v>
      </c>
    </row>
    <row r="3852" spans="1:62" x14ac:dyDescent="0.2">
      <c r="C3852" s="195">
        <v>44823</v>
      </c>
      <c r="D3852" s="55">
        <v>280</v>
      </c>
      <c r="E3852" s="55" t="s">
        <v>6903</v>
      </c>
      <c r="F3852" s="55" t="s">
        <v>196</v>
      </c>
      <c r="G3852" s="55" t="s">
        <v>361</v>
      </c>
      <c r="H3852" s="50" t="s">
        <v>6904</v>
      </c>
    </row>
    <row r="3853" spans="1:62" x14ac:dyDescent="0.2">
      <c r="C3853" s="195">
        <v>44824</v>
      </c>
      <c r="D3853" s="55">
        <v>260</v>
      </c>
      <c r="E3853" s="55" t="s">
        <v>6905</v>
      </c>
      <c r="F3853" s="55" t="s">
        <v>206</v>
      </c>
      <c r="G3853" s="55" t="s">
        <v>548</v>
      </c>
      <c r="H3853" s="50" t="s">
        <v>6906</v>
      </c>
    </row>
    <row r="3854" spans="1:62" x14ac:dyDescent="0.2">
      <c r="C3854" s="195">
        <v>44817</v>
      </c>
      <c r="D3854" s="55">
        <v>280</v>
      </c>
      <c r="E3854" s="55" t="s">
        <v>6907</v>
      </c>
      <c r="F3854" s="55" t="s">
        <v>244</v>
      </c>
      <c r="G3854" s="55" t="s">
        <v>696</v>
      </c>
      <c r="H3854" s="50" t="s">
        <v>6908</v>
      </c>
    </row>
    <row r="3855" spans="1:62" x14ac:dyDescent="0.2">
      <c r="C3855" s="195">
        <v>44834</v>
      </c>
      <c r="D3855" s="55">
        <v>260</v>
      </c>
      <c r="E3855" s="55" t="s">
        <v>6909</v>
      </c>
      <c r="F3855" s="55" t="s">
        <v>219</v>
      </c>
      <c r="G3855" s="55" t="s">
        <v>249</v>
      </c>
      <c r="H3855" s="50" t="s">
        <v>224</v>
      </c>
    </row>
    <row r="3856" spans="1:62" x14ac:dyDescent="0.2">
      <c r="C3856" s="195">
        <v>44826</v>
      </c>
      <c r="D3856" s="55">
        <v>260</v>
      </c>
      <c r="E3856" s="55" t="s">
        <v>6910</v>
      </c>
      <c r="F3856" s="55" t="s">
        <v>206</v>
      </c>
      <c r="G3856" s="55" t="s">
        <v>548</v>
      </c>
      <c r="H3856" s="50" t="s">
        <v>224</v>
      </c>
    </row>
    <row r="3857" spans="3:8" x14ac:dyDescent="0.2">
      <c r="C3857" s="195">
        <v>44805</v>
      </c>
      <c r="D3857" s="55">
        <v>260</v>
      </c>
      <c r="E3857" s="55" t="s">
        <v>6911</v>
      </c>
      <c r="F3857" s="55" t="s">
        <v>231</v>
      </c>
      <c r="G3857" s="55" t="s">
        <v>1189</v>
      </c>
      <c r="H3857" s="50" t="s">
        <v>6912</v>
      </c>
    </row>
    <row r="3858" spans="3:8" x14ac:dyDescent="0.2">
      <c r="C3858" s="195">
        <v>44834</v>
      </c>
      <c r="D3858" s="55">
        <v>280</v>
      </c>
      <c r="E3858" s="55" t="s">
        <v>6913</v>
      </c>
      <c r="F3858" s="55" t="s">
        <v>210</v>
      </c>
      <c r="G3858" s="55" t="s">
        <v>2684</v>
      </c>
      <c r="H3858" s="50" t="s">
        <v>6914</v>
      </c>
    </row>
    <row r="3859" spans="3:8" x14ac:dyDescent="0.2">
      <c r="C3859" s="195">
        <v>44813</v>
      </c>
      <c r="D3859" s="55">
        <v>280</v>
      </c>
      <c r="E3859" s="55" t="s">
        <v>6915</v>
      </c>
      <c r="F3859" s="55" t="s">
        <v>210</v>
      </c>
      <c r="G3859" s="55" t="s">
        <v>306</v>
      </c>
      <c r="H3859" s="50" t="s">
        <v>6916</v>
      </c>
    </row>
    <row r="3860" spans="3:8" x14ac:dyDescent="0.2">
      <c r="C3860" s="195">
        <v>44826</v>
      </c>
      <c r="D3860" s="55">
        <v>280</v>
      </c>
      <c r="E3860" s="55" t="s">
        <v>6917</v>
      </c>
      <c r="F3860" s="55" t="s">
        <v>231</v>
      </c>
      <c r="G3860" s="55" t="s">
        <v>1241</v>
      </c>
      <c r="H3860" s="50" t="s">
        <v>6918</v>
      </c>
    </row>
    <row r="3861" spans="3:8" x14ac:dyDescent="0.2">
      <c r="C3861" s="195">
        <v>44812</v>
      </c>
      <c r="D3861" s="55">
        <v>280</v>
      </c>
      <c r="E3861" s="55" t="s">
        <v>6919</v>
      </c>
      <c r="F3861" s="55" t="s">
        <v>244</v>
      </c>
      <c r="G3861" s="55" t="s">
        <v>245</v>
      </c>
      <c r="H3861" s="50" t="s">
        <v>224</v>
      </c>
    </row>
    <row r="3862" spans="3:8" x14ac:dyDescent="0.2">
      <c r="C3862" s="195">
        <v>44806</v>
      </c>
      <c r="D3862" s="55">
        <v>280</v>
      </c>
      <c r="E3862" s="55" t="s">
        <v>6920</v>
      </c>
      <c r="F3862" s="55" t="s">
        <v>202</v>
      </c>
      <c r="G3862" s="55" t="s">
        <v>344</v>
      </c>
    </row>
    <row r="3863" spans="3:8" x14ac:dyDescent="0.2">
      <c r="C3863" s="195">
        <v>44816</v>
      </c>
      <c r="D3863" s="55">
        <v>280</v>
      </c>
      <c r="E3863" s="55" t="s">
        <v>6921</v>
      </c>
      <c r="F3863" s="55" t="s">
        <v>231</v>
      </c>
      <c r="G3863" s="55" t="s">
        <v>782</v>
      </c>
      <c r="H3863" s="50" t="s">
        <v>6922</v>
      </c>
    </row>
    <row r="3864" spans="3:8" x14ac:dyDescent="0.2">
      <c r="C3864" s="195">
        <v>44827</v>
      </c>
      <c r="D3864" s="55">
        <v>280</v>
      </c>
      <c r="E3864" s="55" t="s">
        <v>6923</v>
      </c>
      <c r="F3864" s="55" t="s">
        <v>206</v>
      </c>
      <c r="G3864" s="55" t="s">
        <v>548</v>
      </c>
      <c r="H3864" s="50" t="s">
        <v>6924</v>
      </c>
    </row>
    <row r="3865" spans="3:8" x14ac:dyDescent="0.2">
      <c r="C3865" s="195">
        <v>44812</v>
      </c>
      <c r="D3865" s="55">
        <v>280</v>
      </c>
      <c r="E3865" s="55" t="s">
        <v>6925</v>
      </c>
      <c r="F3865" s="55" t="s">
        <v>263</v>
      </c>
      <c r="G3865" s="55" t="s">
        <v>3242</v>
      </c>
      <c r="H3865" s="50" t="s">
        <v>6926</v>
      </c>
    </row>
    <row r="3866" spans="3:8" x14ac:dyDescent="0.2">
      <c r="C3866" s="195">
        <v>44834</v>
      </c>
      <c r="D3866" s="55">
        <v>280</v>
      </c>
      <c r="E3866" s="55" t="s">
        <v>6927</v>
      </c>
      <c r="F3866" s="55" t="s">
        <v>202</v>
      </c>
      <c r="G3866" s="55" t="s">
        <v>203</v>
      </c>
      <c r="H3866" s="50" t="s">
        <v>6928</v>
      </c>
    </row>
    <row r="3867" spans="3:8" x14ac:dyDescent="0.2">
      <c r="C3867" s="195">
        <v>44834</v>
      </c>
      <c r="D3867" s="55">
        <v>260</v>
      </c>
      <c r="E3867" s="55" t="s">
        <v>6929</v>
      </c>
      <c r="F3867" s="55" t="s">
        <v>272</v>
      </c>
      <c r="G3867" s="55" t="s">
        <v>273</v>
      </c>
      <c r="H3867" s="50" t="s">
        <v>6930</v>
      </c>
    </row>
    <row r="3868" spans="3:8" x14ac:dyDescent="0.2">
      <c r="C3868" s="195">
        <v>44830</v>
      </c>
      <c r="D3868" s="55">
        <v>260</v>
      </c>
      <c r="E3868" s="55" t="s">
        <v>6931</v>
      </c>
      <c r="F3868" s="55" t="s">
        <v>244</v>
      </c>
      <c r="G3868" s="55" t="s">
        <v>378</v>
      </c>
      <c r="H3868" s="50" t="s">
        <v>6932</v>
      </c>
    </row>
    <row r="3869" spans="3:8" x14ac:dyDescent="0.2">
      <c r="C3869" s="195">
        <v>44805</v>
      </c>
      <c r="D3869" s="55">
        <v>260</v>
      </c>
      <c r="E3869" s="55" t="s">
        <v>6933</v>
      </c>
      <c r="F3869" s="55" t="s">
        <v>202</v>
      </c>
      <c r="G3869" s="55" t="s">
        <v>203</v>
      </c>
      <c r="H3869" s="50" t="s">
        <v>6934</v>
      </c>
    </row>
    <row r="3870" spans="3:8" x14ac:dyDescent="0.2">
      <c r="C3870" s="195">
        <v>44819</v>
      </c>
      <c r="D3870" s="55">
        <v>260</v>
      </c>
      <c r="E3870" s="55" t="s">
        <v>6935</v>
      </c>
      <c r="F3870" s="55" t="s">
        <v>206</v>
      </c>
      <c r="G3870" s="55" t="s">
        <v>548</v>
      </c>
      <c r="H3870" s="50" t="s">
        <v>6936</v>
      </c>
    </row>
    <row r="3871" spans="3:8" x14ac:dyDescent="0.2">
      <c r="C3871" s="195">
        <v>44817</v>
      </c>
      <c r="D3871" s="55">
        <v>280</v>
      </c>
      <c r="E3871" s="55" t="s">
        <v>6937</v>
      </c>
      <c r="F3871" s="55" t="s">
        <v>263</v>
      </c>
      <c r="G3871" s="55" t="s">
        <v>264</v>
      </c>
      <c r="H3871" s="50" t="s">
        <v>6938</v>
      </c>
    </row>
    <row r="3872" spans="3:8" x14ac:dyDescent="0.2">
      <c r="C3872" s="195">
        <v>44819</v>
      </c>
      <c r="D3872" s="55">
        <v>280</v>
      </c>
      <c r="E3872" s="55" t="s">
        <v>6939</v>
      </c>
      <c r="F3872" s="55" t="s">
        <v>210</v>
      </c>
      <c r="G3872" s="55" t="s">
        <v>235</v>
      </c>
      <c r="H3872" s="50" t="s">
        <v>6940</v>
      </c>
    </row>
    <row r="3873" spans="3:8" x14ac:dyDescent="0.2">
      <c r="C3873" s="195">
        <v>44833</v>
      </c>
      <c r="D3873" s="55">
        <v>260</v>
      </c>
      <c r="E3873" s="55" t="s">
        <v>6941</v>
      </c>
      <c r="F3873" s="55" t="s">
        <v>210</v>
      </c>
      <c r="G3873" s="55" t="s">
        <v>383</v>
      </c>
    </row>
    <row r="3874" spans="3:8" x14ac:dyDescent="0.2">
      <c r="C3874" s="195">
        <v>44834</v>
      </c>
      <c r="D3874" s="55">
        <v>260</v>
      </c>
      <c r="E3874" s="55" t="s">
        <v>6942</v>
      </c>
      <c r="F3874" s="55" t="s">
        <v>192</v>
      </c>
      <c r="G3874" s="55" t="s">
        <v>258</v>
      </c>
      <c r="H3874" s="50" t="s">
        <v>6943</v>
      </c>
    </row>
    <row r="3875" spans="3:8" x14ac:dyDescent="0.2">
      <c r="C3875" s="195">
        <v>44832</v>
      </c>
      <c r="D3875" s="55">
        <v>260</v>
      </c>
      <c r="E3875" s="55" t="s">
        <v>6944</v>
      </c>
      <c r="F3875" s="55" t="s">
        <v>390</v>
      </c>
      <c r="G3875" s="55" t="s">
        <v>671</v>
      </c>
      <c r="H3875" s="50" t="s">
        <v>6945</v>
      </c>
    </row>
    <row r="3876" spans="3:8" x14ac:dyDescent="0.2">
      <c r="C3876" s="195">
        <v>44827</v>
      </c>
      <c r="D3876" s="55">
        <v>280</v>
      </c>
      <c r="E3876" s="55" t="s">
        <v>6946</v>
      </c>
      <c r="F3876" s="55" t="s">
        <v>196</v>
      </c>
      <c r="G3876" s="55" t="s">
        <v>645</v>
      </c>
      <c r="H3876" s="50" t="s">
        <v>6947</v>
      </c>
    </row>
    <row r="3877" spans="3:8" x14ac:dyDescent="0.2">
      <c r="C3877" s="195">
        <v>44820</v>
      </c>
      <c r="D3877" s="55">
        <v>280</v>
      </c>
      <c r="E3877" s="55" t="s">
        <v>6948</v>
      </c>
      <c r="F3877" s="55" t="s">
        <v>267</v>
      </c>
      <c r="G3877" s="55" t="s">
        <v>4098</v>
      </c>
      <c r="H3877" s="50" t="s">
        <v>6949</v>
      </c>
    </row>
    <row r="3878" spans="3:8" x14ac:dyDescent="0.2">
      <c r="C3878" s="195">
        <v>44832</v>
      </c>
      <c r="D3878" s="55">
        <v>260</v>
      </c>
      <c r="E3878" s="55" t="s">
        <v>6950</v>
      </c>
      <c r="F3878" s="55" t="s">
        <v>390</v>
      </c>
      <c r="G3878" s="55" t="s">
        <v>490</v>
      </c>
      <c r="H3878" s="50" t="s">
        <v>6951</v>
      </c>
    </row>
    <row r="3879" spans="3:8" x14ac:dyDescent="0.2">
      <c r="C3879" s="195">
        <v>44819</v>
      </c>
      <c r="D3879" s="55">
        <v>260</v>
      </c>
      <c r="E3879" s="55" t="s">
        <v>6952</v>
      </c>
      <c r="F3879" s="55" t="s">
        <v>244</v>
      </c>
      <c r="G3879" s="55" t="s">
        <v>393</v>
      </c>
      <c r="H3879" s="50" t="s">
        <v>6953</v>
      </c>
    </row>
    <row r="3880" spans="3:8" x14ac:dyDescent="0.2">
      <c r="C3880" s="195">
        <v>44818</v>
      </c>
      <c r="D3880" s="55">
        <v>260</v>
      </c>
      <c r="E3880" s="55" t="s">
        <v>6954</v>
      </c>
      <c r="F3880" s="55" t="s">
        <v>244</v>
      </c>
      <c r="G3880" s="55" t="s">
        <v>245</v>
      </c>
      <c r="H3880" s="50" t="s">
        <v>6955</v>
      </c>
    </row>
    <row r="3881" spans="3:8" x14ac:dyDescent="0.2">
      <c r="C3881" s="195">
        <v>44810</v>
      </c>
      <c r="D3881" s="55">
        <v>260</v>
      </c>
      <c r="E3881" s="55" t="s">
        <v>6956</v>
      </c>
      <c r="F3881" s="55" t="s">
        <v>210</v>
      </c>
      <c r="G3881" s="55" t="s">
        <v>1572</v>
      </c>
      <c r="H3881" s="50" t="s">
        <v>6957</v>
      </c>
    </row>
    <row r="3882" spans="3:8" x14ac:dyDescent="0.2">
      <c r="C3882" s="195">
        <v>44805</v>
      </c>
      <c r="D3882" s="55">
        <v>260</v>
      </c>
      <c r="E3882" s="55" t="s">
        <v>6958</v>
      </c>
      <c r="F3882" s="55" t="s">
        <v>390</v>
      </c>
      <c r="G3882" s="55" t="s">
        <v>490</v>
      </c>
      <c r="H3882" s="50" t="s">
        <v>6959</v>
      </c>
    </row>
    <row r="3883" spans="3:8" x14ac:dyDescent="0.2">
      <c r="C3883" s="195">
        <v>44806</v>
      </c>
      <c r="D3883" s="55">
        <v>280</v>
      </c>
      <c r="E3883" s="55" t="s">
        <v>6960</v>
      </c>
      <c r="F3883" s="55" t="s">
        <v>206</v>
      </c>
      <c r="G3883" s="55" t="s">
        <v>548</v>
      </c>
      <c r="H3883" s="50" t="s">
        <v>6961</v>
      </c>
    </row>
    <row r="3884" spans="3:8" x14ac:dyDescent="0.2">
      <c r="C3884" s="195">
        <v>44827</v>
      </c>
      <c r="D3884" s="55">
        <v>260</v>
      </c>
      <c r="E3884" s="55" t="s">
        <v>6962</v>
      </c>
      <c r="F3884" s="55" t="s">
        <v>244</v>
      </c>
      <c r="G3884" s="55" t="s">
        <v>378</v>
      </c>
      <c r="H3884" s="50" t="s">
        <v>6963</v>
      </c>
    </row>
    <row r="3885" spans="3:8" x14ac:dyDescent="0.2">
      <c r="C3885" s="195">
        <v>44806</v>
      </c>
      <c r="D3885" s="55">
        <v>280</v>
      </c>
      <c r="E3885" s="55" t="s">
        <v>6964</v>
      </c>
      <c r="F3885" s="55" t="s">
        <v>231</v>
      </c>
      <c r="G3885" s="55" t="s">
        <v>3699</v>
      </c>
      <c r="H3885" s="50" t="s">
        <v>6965</v>
      </c>
    </row>
    <row r="3886" spans="3:8" x14ac:dyDescent="0.2">
      <c r="C3886" s="195">
        <v>44813</v>
      </c>
      <c r="D3886" s="55">
        <v>260</v>
      </c>
      <c r="E3886" s="55" t="s">
        <v>6966</v>
      </c>
      <c r="F3886" s="55" t="s">
        <v>206</v>
      </c>
      <c r="G3886" s="55" t="s">
        <v>548</v>
      </c>
      <c r="H3886" s="50" t="s">
        <v>6967</v>
      </c>
    </row>
    <row r="3887" spans="3:8" x14ac:dyDescent="0.2">
      <c r="C3887" s="195">
        <v>44810</v>
      </c>
      <c r="D3887" s="55">
        <v>280</v>
      </c>
      <c r="E3887" s="55" t="s">
        <v>6968</v>
      </c>
      <c r="F3887" s="55" t="s">
        <v>231</v>
      </c>
      <c r="G3887" s="55" t="s">
        <v>371</v>
      </c>
      <c r="H3887" s="50" t="s">
        <v>6969</v>
      </c>
    </row>
    <row r="3888" spans="3:8" x14ac:dyDescent="0.2">
      <c r="C3888" s="195">
        <v>44831</v>
      </c>
      <c r="D3888" s="55">
        <v>280</v>
      </c>
      <c r="E3888" s="55" t="s">
        <v>6970</v>
      </c>
      <c r="F3888" s="55" t="s">
        <v>192</v>
      </c>
      <c r="G3888" s="55" t="s">
        <v>453</v>
      </c>
      <c r="H3888" s="50" t="s">
        <v>6971</v>
      </c>
    </row>
    <row r="3889" spans="1:62" x14ac:dyDescent="0.2">
      <c r="C3889" s="195">
        <v>44823</v>
      </c>
      <c r="D3889" s="55">
        <v>280</v>
      </c>
      <c r="E3889" s="55" t="s">
        <v>6972</v>
      </c>
      <c r="F3889" s="55" t="s">
        <v>231</v>
      </c>
      <c r="G3889" s="55" t="s">
        <v>435</v>
      </c>
      <c r="H3889" s="50" t="s">
        <v>224</v>
      </c>
    </row>
    <row r="3890" spans="1:62" x14ac:dyDescent="0.2">
      <c r="C3890" s="195">
        <v>44806</v>
      </c>
      <c r="D3890" s="55">
        <v>280</v>
      </c>
      <c r="E3890" s="55" t="s">
        <v>6973</v>
      </c>
      <c r="F3890" s="55" t="s">
        <v>202</v>
      </c>
      <c r="G3890" s="55" t="s">
        <v>203</v>
      </c>
      <c r="H3890" s="50" t="s">
        <v>6974</v>
      </c>
    </row>
    <row r="3891" spans="1:62" x14ac:dyDescent="0.2">
      <c r="C3891" s="195">
        <v>44812</v>
      </c>
      <c r="D3891" s="55">
        <v>260</v>
      </c>
      <c r="E3891" s="55" t="s">
        <v>6975</v>
      </c>
      <c r="F3891" s="55" t="s">
        <v>210</v>
      </c>
      <c r="G3891" s="55" t="s">
        <v>2684</v>
      </c>
      <c r="H3891" s="50" t="s">
        <v>6976</v>
      </c>
    </row>
    <row r="3892" spans="1:62" x14ac:dyDescent="0.2">
      <c r="C3892" s="195">
        <v>44827</v>
      </c>
      <c r="D3892" s="55">
        <v>260</v>
      </c>
      <c r="E3892" s="55" t="s">
        <v>6977</v>
      </c>
      <c r="F3892" s="55" t="s">
        <v>206</v>
      </c>
      <c r="G3892" s="55" t="s">
        <v>548</v>
      </c>
      <c r="H3892" s="50" t="s">
        <v>6978</v>
      </c>
    </row>
    <row r="3893" spans="1:62" x14ac:dyDescent="0.2">
      <c r="A3893" s="57">
        <v>922</v>
      </c>
      <c r="B3893" t="s">
        <v>836</v>
      </c>
      <c r="C3893" s="195">
        <v>44806</v>
      </c>
      <c r="D3893" s="55">
        <v>260</v>
      </c>
      <c r="E3893" s="55" t="s">
        <v>6979</v>
      </c>
      <c r="F3893" s="55" t="s">
        <v>202</v>
      </c>
      <c r="G3893" s="55" t="s">
        <v>203</v>
      </c>
      <c r="H3893" s="50" t="s">
        <v>6980</v>
      </c>
      <c r="I3893" s="46" t="s">
        <v>839</v>
      </c>
      <c r="J3893" s="52">
        <v>1</v>
      </c>
      <c r="K3893" s="52">
        <v>1</v>
      </c>
      <c r="O3893" s="1">
        <v>1</v>
      </c>
      <c r="S3893" s="1">
        <v>1</v>
      </c>
      <c r="W3893" s="1">
        <v>1</v>
      </c>
      <c r="AA3893" s="1">
        <v>1</v>
      </c>
      <c r="AG3893">
        <v>1</v>
      </c>
      <c r="AM3893">
        <v>4</v>
      </c>
      <c r="AS3893">
        <v>4</v>
      </c>
      <c r="AT3893">
        <v>1</v>
      </c>
      <c r="AU3893">
        <v>1</v>
      </c>
      <c r="AZ3893">
        <v>1</v>
      </c>
      <c r="BA3893">
        <v>1</v>
      </c>
      <c r="BB3893">
        <v>1</v>
      </c>
      <c r="BC3893">
        <v>1</v>
      </c>
      <c r="BD3893">
        <v>1</v>
      </c>
      <c r="BE3893">
        <v>1</v>
      </c>
      <c r="BJ3893">
        <v>1</v>
      </c>
    </row>
    <row r="3894" spans="1:62" x14ac:dyDescent="0.2">
      <c r="C3894" s="195">
        <v>44831</v>
      </c>
      <c r="D3894" s="55">
        <v>260</v>
      </c>
      <c r="E3894" s="55" t="s">
        <v>6981</v>
      </c>
      <c r="F3894" s="55" t="s">
        <v>263</v>
      </c>
      <c r="G3894" s="55" t="s">
        <v>1360</v>
      </c>
      <c r="H3894" s="50" t="s">
        <v>6982</v>
      </c>
    </row>
    <row r="3895" spans="1:62" x14ac:dyDescent="0.2">
      <c r="C3895" s="195">
        <v>44817</v>
      </c>
      <c r="D3895" s="55">
        <v>280</v>
      </c>
      <c r="E3895" s="55" t="s">
        <v>6983</v>
      </c>
      <c r="F3895" s="55" t="s">
        <v>196</v>
      </c>
      <c r="G3895" s="55" t="s">
        <v>197</v>
      </c>
      <c r="H3895" s="50" t="s">
        <v>224</v>
      </c>
    </row>
    <row r="3896" spans="1:62" x14ac:dyDescent="0.2">
      <c r="C3896" s="195">
        <v>44827</v>
      </c>
      <c r="D3896" s="55">
        <v>260</v>
      </c>
      <c r="E3896" s="55" t="s">
        <v>6984</v>
      </c>
      <c r="F3896" s="55" t="s">
        <v>244</v>
      </c>
      <c r="G3896" s="55" t="s">
        <v>378</v>
      </c>
      <c r="H3896" s="50" t="s">
        <v>6985</v>
      </c>
    </row>
    <row r="3897" spans="1:62" x14ac:dyDescent="0.2">
      <c r="A3897" s="57">
        <v>922</v>
      </c>
      <c r="B3897" t="s">
        <v>836</v>
      </c>
      <c r="C3897" s="195">
        <v>44825</v>
      </c>
      <c r="D3897" s="55">
        <v>260</v>
      </c>
      <c r="E3897" s="55" t="s">
        <v>6986</v>
      </c>
      <c r="F3897" s="55" t="s">
        <v>196</v>
      </c>
      <c r="G3897" s="55" t="s">
        <v>349</v>
      </c>
      <c r="H3897" s="50" t="s">
        <v>224</v>
      </c>
      <c r="I3897" s="46" t="s">
        <v>839</v>
      </c>
      <c r="J3897" s="52">
        <v>1</v>
      </c>
      <c r="K3897" s="52">
        <v>1</v>
      </c>
      <c r="O3897" s="1">
        <v>1</v>
      </c>
      <c r="S3897" s="1">
        <v>1</v>
      </c>
      <c r="W3897" s="1">
        <v>1</v>
      </c>
      <c r="AA3897" s="1">
        <v>1</v>
      </c>
      <c r="AG3897">
        <v>1</v>
      </c>
      <c r="AM3897">
        <v>1</v>
      </c>
      <c r="AN3897">
        <v>1</v>
      </c>
      <c r="AO3897">
        <v>1</v>
      </c>
      <c r="AP3897">
        <v>3</v>
      </c>
      <c r="AQ3897">
        <v>1</v>
      </c>
      <c r="AR3897">
        <v>3</v>
      </c>
      <c r="AS3897">
        <v>2</v>
      </c>
      <c r="AT3897">
        <v>1</v>
      </c>
      <c r="AU3897">
        <v>1</v>
      </c>
      <c r="AZ3897">
        <v>1</v>
      </c>
      <c r="BA3897">
        <v>1</v>
      </c>
      <c r="BB3897">
        <v>1</v>
      </c>
      <c r="BC3897">
        <v>1</v>
      </c>
      <c r="BD3897">
        <v>1</v>
      </c>
      <c r="BE3897">
        <v>1</v>
      </c>
      <c r="BJ3897">
        <v>1</v>
      </c>
    </row>
    <row r="3898" spans="1:62" x14ac:dyDescent="0.2">
      <c r="C3898" s="195">
        <v>44820</v>
      </c>
      <c r="D3898" s="55">
        <v>260</v>
      </c>
      <c r="E3898" s="55" t="s">
        <v>6987</v>
      </c>
      <c r="F3898" s="55" t="s">
        <v>272</v>
      </c>
      <c r="G3898" s="55" t="s">
        <v>1040</v>
      </c>
      <c r="H3898" s="50" t="s">
        <v>6988</v>
      </c>
    </row>
    <row r="3899" spans="1:62" x14ac:dyDescent="0.2">
      <c r="C3899" s="195">
        <v>44824</v>
      </c>
      <c r="D3899" s="55">
        <v>260</v>
      </c>
      <c r="E3899" s="55" t="s">
        <v>6989</v>
      </c>
      <c r="F3899" s="55" t="s">
        <v>390</v>
      </c>
      <c r="G3899" s="55" t="s">
        <v>870</v>
      </c>
      <c r="H3899" s="50" t="s">
        <v>6990</v>
      </c>
    </row>
    <row r="3900" spans="1:62" x14ac:dyDescent="0.2">
      <c r="C3900" s="195">
        <v>44817</v>
      </c>
      <c r="D3900" s="55">
        <v>260</v>
      </c>
      <c r="E3900" s="55" t="s">
        <v>6991</v>
      </c>
      <c r="F3900" s="55" t="s">
        <v>210</v>
      </c>
      <c r="G3900" s="55" t="s">
        <v>235</v>
      </c>
      <c r="H3900" s="50" t="s">
        <v>6992</v>
      </c>
    </row>
    <row r="3901" spans="1:62" x14ac:dyDescent="0.2">
      <c r="C3901" s="195">
        <v>44817</v>
      </c>
      <c r="D3901" s="55">
        <v>280</v>
      </c>
      <c r="E3901" s="55" t="s">
        <v>6993</v>
      </c>
      <c r="F3901" s="55" t="s">
        <v>196</v>
      </c>
      <c r="G3901" s="55" t="s">
        <v>415</v>
      </c>
      <c r="H3901" s="50" t="s">
        <v>6994</v>
      </c>
    </row>
    <row r="3902" spans="1:62" x14ac:dyDescent="0.2">
      <c r="C3902" s="195">
        <v>44833</v>
      </c>
      <c r="D3902" s="55">
        <v>280</v>
      </c>
      <c r="E3902" s="55" t="s">
        <v>6995</v>
      </c>
      <c r="F3902" s="55" t="s">
        <v>231</v>
      </c>
      <c r="G3902" s="55" t="s">
        <v>648</v>
      </c>
      <c r="H3902" s="50" t="s">
        <v>6996</v>
      </c>
    </row>
    <row r="3903" spans="1:62" x14ac:dyDescent="0.2">
      <c r="C3903" s="195">
        <v>44834</v>
      </c>
      <c r="D3903" s="55">
        <v>280</v>
      </c>
      <c r="E3903" s="55" t="s">
        <v>6997</v>
      </c>
      <c r="F3903" s="55" t="s">
        <v>272</v>
      </c>
      <c r="G3903" s="55" t="s">
        <v>273</v>
      </c>
      <c r="H3903" s="50" t="s">
        <v>6998</v>
      </c>
    </row>
    <row r="3904" spans="1:62" x14ac:dyDescent="0.2">
      <c r="A3904" s="57">
        <v>922</v>
      </c>
      <c r="B3904" t="s">
        <v>836</v>
      </c>
      <c r="C3904" s="195">
        <v>44817</v>
      </c>
      <c r="D3904" s="55">
        <v>280</v>
      </c>
      <c r="E3904" s="55" t="s">
        <v>6999</v>
      </c>
      <c r="F3904" s="55" t="s">
        <v>267</v>
      </c>
      <c r="G3904" s="55" t="s">
        <v>708</v>
      </c>
      <c r="H3904" s="50" t="s">
        <v>7000</v>
      </c>
      <c r="I3904" s="46" t="s">
        <v>839</v>
      </c>
      <c r="J3904" s="52">
        <v>1</v>
      </c>
      <c r="K3904" s="52">
        <v>1</v>
      </c>
      <c r="O3904" s="1">
        <v>1</v>
      </c>
      <c r="S3904" s="1">
        <v>1</v>
      </c>
      <c r="W3904" s="1">
        <v>1</v>
      </c>
      <c r="AA3904" s="1">
        <v>1</v>
      </c>
      <c r="AG3904">
        <v>4</v>
      </c>
      <c r="AH3904">
        <v>3</v>
      </c>
      <c r="AI3904">
        <v>2</v>
      </c>
      <c r="AJ3904">
        <v>2</v>
      </c>
      <c r="AK3904">
        <v>3</v>
      </c>
      <c r="AL3904">
        <v>2</v>
      </c>
      <c r="AM3904">
        <v>4</v>
      </c>
      <c r="AS3904">
        <v>4</v>
      </c>
      <c r="AT3904">
        <v>2</v>
      </c>
      <c r="AU3904">
        <v>2</v>
      </c>
      <c r="AZ3904">
        <v>2</v>
      </c>
      <c r="BA3904">
        <v>3</v>
      </c>
      <c r="BB3904">
        <v>3</v>
      </c>
      <c r="BC3904">
        <v>3</v>
      </c>
      <c r="BD3904">
        <v>1</v>
      </c>
      <c r="BE3904">
        <v>5</v>
      </c>
      <c r="BJ3904">
        <v>5</v>
      </c>
    </row>
    <row r="3905" spans="1:9" x14ac:dyDescent="0.2">
      <c r="C3905" s="195">
        <v>44810</v>
      </c>
      <c r="D3905" s="55">
        <v>280</v>
      </c>
      <c r="E3905" s="55" t="s">
        <v>7001</v>
      </c>
      <c r="F3905" s="55" t="s">
        <v>390</v>
      </c>
      <c r="G3905" s="55" t="s">
        <v>590</v>
      </c>
      <c r="H3905" s="50" t="s">
        <v>7002</v>
      </c>
    </row>
    <row r="3906" spans="1:9" x14ac:dyDescent="0.2">
      <c r="C3906" s="195">
        <v>44831</v>
      </c>
      <c r="D3906" s="55">
        <v>280</v>
      </c>
      <c r="E3906" s="55" t="s">
        <v>7003</v>
      </c>
      <c r="F3906" s="55" t="s">
        <v>291</v>
      </c>
      <c r="G3906" s="55" t="s">
        <v>1247</v>
      </c>
      <c r="H3906" s="50" t="s">
        <v>7004</v>
      </c>
    </row>
    <row r="3907" spans="1:9" x14ac:dyDescent="0.2">
      <c r="C3907" s="195">
        <v>44834</v>
      </c>
      <c r="D3907" s="55">
        <v>260</v>
      </c>
      <c r="E3907" s="55" t="s">
        <v>7005</v>
      </c>
      <c r="F3907" s="55" t="s">
        <v>291</v>
      </c>
      <c r="G3907" s="55" t="s">
        <v>1247</v>
      </c>
      <c r="H3907" s="50" t="s">
        <v>7006</v>
      </c>
    </row>
    <row r="3908" spans="1:9" x14ac:dyDescent="0.2">
      <c r="A3908" s="57">
        <v>922</v>
      </c>
      <c r="B3908" t="s">
        <v>836</v>
      </c>
      <c r="C3908" s="195">
        <v>44810</v>
      </c>
      <c r="D3908" s="55">
        <v>280</v>
      </c>
      <c r="E3908" s="55" t="s">
        <v>7007</v>
      </c>
      <c r="F3908" s="55" t="s">
        <v>196</v>
      </c>
      <c r="G3908" s="55" t="s">
        <v>361</v>
      </c>
      <c r="H3908" s="50" t="s">
        <v>224</v>
      </c>
      <c r="I3908" s="46" t="s">
        <v>837</v>
      </c>
    </row>
    <row r="3909" spans="1:9" x14ac:dyDescent="0.2">
      <c r="C3909" s="195">
        <v>44818</v>
      </c>
      <c r="D3909" s="55">
        <v>260</v>
      </c>
      <c r="E3909" s="55" t="s">
        <v>7008</v>
      </c>
      <c r="F3909" s="55" t="s">
        <v>192</v>
      </c>
      <c r="G3909" s="55" t="s">
        <v>324</v>
      </c>
      <c r="H3909" s="50" t="s">
        <v>7009</v>
      </c>
    </row>
    <row r="3910" spans="1:9" x14ac:dyDescent="0.2">
      <c r="C3910" s="195">
        <v>44834</v>
      </c>
      <c r="D3910" s="55">
        <v>260</v>
      </c>
      <c r="E3910" s="55" t="s">
        <v>7010</v>
      </c>
      <c r="F3910" s="55" t="s">
        <v>219</v>
      </c>
      <c r="G3910" s="55" t="s">
        <v>220</v>
      </c>
      <c r="H3910" s="50" t="s">
        <v>7011</v>
      </c>
    </row>
    <row r="3911" spans="1:9" x14ac:dyDescent="0.2">
      <c r="C3911" s="195">
        <v>44806</v>
      </c>
      <c r="D3911" s="55">
        <v>260</v>
      </c>
      <c r="E3911" s="55" t="s">
        <v>7012</v>
      </c>
      <c r="F3911" s="55" t="s">
        <v>202</v>
      </c>
      <c r="G3911" s="55" t="s">
        <v>297</v>
      </c>
      <c r="H3911" s="50" t="s">
        <v>7013</v>
      </c>
    </row>
    <row r="3912" spans="1:9" x14ac:dyDescent="0.2">
      <c r="C3912" s="195">
        <v>44826</v>
      </c>
      <c r="D3912" s="55">
        <v>260</v>
      </c>
      <c r="E3912" s="55" t="s">
        <v>7014</v>
      </c>
      <c r="F3912" s="55" t="s">
        <v>206</v>
      </c>
      <c r="G3912" s="55" t="s">
        <v>228</v>
      </c>
      <c r="H3912" s="50" t="s">
        <v>7015</v>
      </c>
    </row>
    <row r="3913" spans="1:9" x14ac:dyDescent="0.2">
      <c r="C3913" s="195">
        <v>44819</v>
      </c>
      <c r="D3913" s="55">
        <v>280</v>
      </c>
      <c r="E3913" s="55" t="s">
        <v>7016</v>
      </c>
      <c r="F3913" s="55" t="s">
        <v>231</v>
      </c>
      <c r="G3913" s="55" t="s">
        <v>1098</v>
      </c>
    </row>
    <row r="3914" spans="1:9" x14ac:dyDescent="0.2">
      <c r="C3914" s="195">
        <v>44830</v>
      </c>
      <c r="D3914" s="55">
        <v>260</v>
      </c>
      <c r="E3914" s="55" t="s">
        <v>7017</v>
      </c>
      <c r="F3914" s="55" t="s">
        <v>263</v>
      </c>
      <c r="G3914" s="55" t="s">
        <v>506</v>
      </c>
      <c r="H3914" s="50" t="s">
        <v>7018</v>
      </c>
    </row>
    <row r="3915" spans="1:9" x14ac:dyDescent="0.2">
      <c r="C3915" s="195">
        <v>44833</v>
      </c>
      <c r="D3915" s="55">
        <v>280</v>
      </c>
      <c r="E3915" s="55" t="s">
        <v>7019</v>
      </c>
      <c r="F3915" s="55" t="s">
        <v>390</v>
      </c>
      <c r="G3915" s="55" t="s">
        <v>590</v>
      </c>
      <c r="H3915" s="50" t="s">
        <v>224</v>
      </c>
    </row>
    <row r="3916" spans="1:9" x14ac:dyDescent="0.2">
      <c r="C3916" s="195">
        <v>44834</v>
      </c>
      <c r="D3916" s="55">
        <v>280</v>
      </c>
      <c r="E3916" s="55" t="s">
        <v>7020</v>
      </c>
      <c r="F3916" s="55" t="s">
        <v>272</v>
      </c>
      <c r="G3916" s="55" t="s">
        <v>366</v>
      </c>
      <c r="H3916" s="50" t="s">
        <v>7021</v>
      </c>
    </row>
    <row r="3917" spans="1:9" x14ac:dyDescent="0.2">
      <c r="C3917" s="195">
        <v>44834</v>
      </c>
      <c r="D3917" s="55">
        <v>260</v>
      </c>
      <c r="E3917" s="55" t="s">
        <v>7022</v>
      </c>
      <c r="F3917" s="55" t="s">
        <v>244</v>
      </c>
      <c r="G3917" s="55" t="s">
        <v>245</v>
      </c>
      <c r="H3917" s="50" t="s">
        <v>7023</v>
      </c>
    </row>
    <row r="3918" spans="1:9" x14ac:dyDescent="0.2">
      <c r="C3918" s="195">
        <v>44830</v>
      </c>
      <c r="D3918" s="55">
        <v>280</v>
      </c>
      <c r="E3918" s="55" t="s">
        <v>7024</v>
      </c>
      <c r="F3918" s="55" t="s">
        <v>196</v>
      </c>
      <c r="G3918" s="55" t="s">
        <v>415</v>
      </c>
      <c r="H3918" s="50" t="s">
        <v>224</v>
      </c>
    </row>
    <row r="3919" spans="1:9" x14ac:dyDescent="0.2">
      <c r="C3919" s="195">
        <v>44832</v>
      </c>
      <c r="D3919" s="55">
        <v>260</v>
      </c>
      <c r="E3919" s="55" t="s">
        <v>7025</v>
      </c>
      <c r="F3919" s="55" t="s">
        <v>267</v>
      </c>
      <c r="G3919" s="55" t="s">
        <v>442</v>
      </c>
    </row>
    <row r="3920" spans="1:9" x14ac:dyDescent="0.2">
      <c r="C3920" s="195">
        <v>44832</v>
      </c>
      <c r="D3920" s="55">
        <v>260</v>
      </c>
      <c r="E3920" s="55" t="s">
        <v>7026</v>
      </c>
      <c r="F3920" s="55" t="s">
        <v>231</v>
      </c>
      <c r="G3920" s="55" t="s">
        <v>421</v>
      </c>
      <c r="H3920" s="50" t="s">
        <v>224</v>
      </c>
    </row>
    <row r="3921" spans="1:62" x14ac:dyDescent="0.2">
      <c r="C3921" s="195">
        <v>44830</v>
      </c>
      <c r="D3921" s="55">
        <v>260</v>
      </c>
      <c r="E3921" s="55" t="s">
        <v>7027</v>
      </c>
      <c r="F3921" s="55" t="s">
        <v>263</v>
      </c>
      <c r="G3921" s="55" t="s">
        <v>633</v>
      </c>
      <c r="H3921" s="50" t="s">
        <v>7028</v>
      </c>
    </row>
    <row r="3922" spans="1:62" x14ac:dyDescent="0.2">
      <c r="C3922" s="195">
        <v>44817</v>
      </c>
      <c r="D3922" s="55">
        <v>280</v>
      </c>
      <c r="E3922" s="55" t="s">
        <v>7029</v>
      </c>
      <c r="F3922" s="55" t="s">
        <v>196</v>
      </c>
      <c r="G3922" s="55" t="s">
        <v>349</v>
      </c>
      <c r="H3922" s="50" t="s">
        <v>7030</v>
      </c>
    </row>
    <row r="3923" spans="1:62" x14ac:dyDescent="0.2">
      <c r="C3923" s="195">
        <v>44819</v>
      </c>
      <c r="D3923" s="55">
        <v>280</v>
      </c>
      <c r="E3923" s="55" t="s">
        <v>7031</v>
      </c>
      <c r="F3923" s="55" t="s">
        <v>206</v>
      </c>
      <c r="G3923" s="55" t="s">
        <v>548</v>
      </c>
      <c r="H3923" s="50" t="s">
        <v>7032</v>
      </c>
    </row>
    <row r="3924" spans="1:62" x14ac:dyDescent="0.2">
      <c r="C3924" s="195">
        <v>44834</v>
      </c>
      <c r="D3924" s="55">
        <v>280</v>
      </c>
      <c r="E3924" s="55" t="s">
        <v>7033</v>
      </c>
      <c r="F3924" s="55" t="s">
        <v>267</v>
      </c>
      <c r="G3924" s="55" t="s">
        <v>813</v>
      </c>
      <c r="H3924" s="50" t="s">
        <v>7034</v>
      </c>
    </row>
    <row r="3925" spans="1:62" x14ac:dyDescent="0.2">
      <c r="C3925" s="195">
        <v>44810</v>
      </c>
      <c r="D3925" s="55">
        <v>280</v>
      </c>
      <c r="E3925" s="55" t="s">
        <v>7035</v>
      </c>
      <c r="F3925" s="55" t="s">
        <v>210</v>
      </c>
      <c r="G3925" s="55" t="s">
        <v>235</v>
      </c>
      <c r="H3925" s="50" t="s">
        <v>7036</v>
      </c>
    </row>
    <row r="3926" spans="1:62" x14ac:dyDescent="0.2">
      <c r="C3926" s="195">
        <v>44830</v>
      </c>
      <c r="D3926" s="55">
        <v>280</v>
      </c>
      <c r="E3926" s="55" t="s">
        <v>7037</v>
      </c>
      <c r="F3926" s="55" t="s">
        <v>192</v>
      </c>
      <c r="G3926" s="55" t="s">
        <v>453</v>
      </c>
      <c r="H3926" s="50" t="s">
        <v>7038</v>
      </c>
    </row>
    <row r="3927" spans="1:62" x14ac:dyDescent="0.2">
      <c r="C3927" s="195">
        <v>44818</v>
      </c>
      <c r="D3927" s="55">
        <v>260</v>
      </c>
      <c r="E3927" s="55" t="s">
        <v>7039</v>
      </c>
      <c r="F3927" s="55" t="s">
        <v>390</v>
      </c>
      <c r="G3927" s="55" t="s">
        <v>490</v>
      </c>
      <c r="H3927" s="50" t="s">
        <v>7040</v>
      </c>
    </row>
    <row r="3928" spans="1:62" x14ac:dyDescent="0.2">
      <c r="C3928" s="195">
        <v>44820</v>
      </c>
      <c r="D3928" s="55">
        <v>260</v>
      </c>
      <c r="E3928" s="55" t="s">
        <v>7041</v>
      </c>
      <c r="F3928" s="55" t="s">
        <v>231</v>
      </c>
      <c r="G3928" s="55" t="s">
        <v>4012</v>
      </c>
      <c r="H3928" s="50" t="s">
        <v>7042</v>
      </c>
    </row>
    <row r="3929" spans="1:62" x14ac:dyDescent="0.2">
      <c r="C3929" s="195">
        <v>44819</v>
      </c>
      <c r="D3929" s="55">
        <v>260</v>
      </c>
      <c r="E3929" s="55" t="s">
        <v>7043</v>
      </c>
      <c r="F3929" s="55" t="s">
        <v>206</v>
      </c>
      <c r="G3929" s="55" t="s">
        <v>548</v>
      </c>
      <c r="H3929" s="50" t="s">
        <v>7044</v>
      </c>
    </row>
    <row r="3930" spans="1:62" x14ac:dyDescent="0.2">
      <c r="C3930" s="195">
        <v>44813</v>
      </c>
      <c r="D3930" s="55">
        <v>280</v>
      </c>
      <c r="E3930" s="55" t="s">
        <v>7045</v>
      </c>
      <c r="F3930" s="55" t="s">
        <v>267</v>
      </c>
      <c r="G3930" s="55" t="s">
        <v>1109</v>
      </c>
      <c r="H3930" s="50" t="s">
        <v>224</v>
      </c>
    </row>
    <row r="3931" spans="1:62" x14ac:dyDescent="0.2">
      <c r="C3931" s="195">
        <v>44817</v>
      </c>
      <c r="D3931" s="55">
        <v>260</v>
      </c>
      <c r="E3931" s="55" t="s">
        <v>7046</v>
      </c>
      <c r="F3931" s="55" t="s">
        <v>196</v>
      </c>
      <c r="G3931" s="55" t="s">
        <v>349</v>
      </c>
      <c r="H3931" s="50" t="s">
        <v>7047</v>
      </c>
    </row>
    <row r="3932" spans="1:62" x14ac:dyDescent="0.2">
      <c r="A3932" s="57">
        <v>922</v>
      </c>
      <c r="B3932" t="s">
        <v>836</v>
      </c>
      <c r="C3932" s="195">
        <v>44834</v>
      </c>
      <c r="D3932" s="55">
        <v>260</v>
      </c>
      <c r="E3932" s="55" t="s">
        <v>7048</v>
      </c>
      <c r="F3932" s="55" t="s">
        <v>244</v>
      </c>
      <c r="G3932" s="55" t="s">
        <v>245</v>
      </c>
      <c r="H3932" s="50" t="s">
        <v>224</v>
      </c>
      <c r="I3932" s="46" t="s">
        <v>839</v>
      </c>
      <c r="J3932" s="52">
        <v>1</v>
      </c>
      <c r="K3932" s="52">
        <v>1</v>
      </c>
      <c r="O3932" s="1">
        <v>1</v>
      </c>
      <c r="S3932" s="1">
        <v>1</v>
      </c>
      <c r="W3932" s="1">
        <v>1</v>
      </c>
      <c r="AA3932" s="1">
        <v>1</v>
      </c>
      <c r="AG3932">
        <v>1</v>
      </c>
      <c r="AM3932">
        <v>1</v>
      </c>
      <c r="AN3932">
        <v>1</v>
      </c>
      <c r="AO3932">
        <v>4</v>
      </c>
      <c r="AP3932">
        <v>1</v>
      </c>
      <c r="AQ3932">
        <v>1</v>
      </c>
      <c r="AR3932">
        <v>1</v>
      </c>
      <c r="AS3932">
        <v>1</v>
      </c>
      <c r="AT3932">
        <v>1</v>
      </c>
      <c r="AU3932">
        <v>1</v>
      </c>
      <c r="AZ3932">
        <v>1</v>
      </c>
      <c r="BA3932">
        <v>1</v>
      </c>
      <c r="BB3932">
        <v>1</v>
      </c>
      <c r="BC3932">
        <v>1</v>
      </c>
      <c r="BD3932">
        <v>1</v>
      </c>
      <c r="BE3932">
        <v>1</v>
      </c>
      <c r="BJ3932">
        <v>1</v>
      </c>
    </row>
    <row r="3933" spans="1:62" x14ac:dyDescent="0.2">
      <c r="C3933" s="195">
        <v>44834</v>
      </c>
      <c r="D3933" s="55">
        <v>260</v>
      </c>
      <c r="E3933" s="55" t="s">
        <v>7049</v>
      </c>
      <c r="F3933" s="55" t="s">
        <v>202</v>
      </c>
      <c r="G3933" s="55" t="s">
        <v>2033</v>
      </c>
      <c r="H3933" s="50" t="s">
        <v>7050</v>
      </c>
    </row>
    <row r="3934" spans="1:62" x14ac:dyDescent="0.2">
      <c r="C3934" s="195">
        <v>44812</v>
      </c>
      <c r="D3934" s="55">
        <v>260</v>
      </c>
      <c r="E3934" s="55" t="s">
        <v>7051</v>
      </c>
      <c r="F3934" s="55" t="s">
        <v>244</v>
      </c>
      <c r="G3934" s="55" t="s">
        <v>393</v>
      </c>
      <c r="H3934" s="50" t="s">
        <v>7052</v>
      </c>
    </row>
    <row r="3935" spans="1:62" x14ac:dyDescent="0.2">
      <c r="C3935" s="195">
        <v>44826</v>
      </c>
      <c r="D3935" s="55">
        <v>260</v>
      </c>
      <c r="E3935" s="55" t="s">
        <v>7053</v>
      </c>
      <c r="F3935" s="55" t="s">
        <v>192</v>
      </c>
      <c r="G3935" s="55" t="s">
        <v>258</v>
      </c>
      <c r="H3935" s="50" t="s">
        <v>7054</v>
      </c>
    </row>
    <row r="3936" spans="1:62" x14ac:dyDescent="0.2">
      <c r="C3936" s="195">
        <v>44834</v>
      </c>
      <c r="D3936" s="55">
        <v>260</v>
      </c>
      <c r="E3936" s="55" t="s">
        <v>7055</v>
      </c>
      <c r="F3936" s="55" t="s">
        <v>291</v>
      </c>
      <c r="G3936" s="55" t="s">
        <v>643</v>
      </c>
      <c r="H3936" s="50" t="s">
        <v>7056</v>
      </c>
    </row>
    <row r="3937" spans="1:62" x14ac:dyDescent="0.2">
      <c r="C3937" s="195">
        <v>44827</v>
      </c>
      <c r="D3937" s="55">
        <v>280</v>
      </c>
      <c r="E3937" s="55" t="s">
        <v>7057</v>
      </c>
      <c r="F3937" s="55" t="s">
        <v>192</v>
      </c>
      <c r="G3937" s="55" t="s">
        <v>487</v>
      </c>
      <c r="H3937" s="50" t="s">
        <v>7058</v>
      </c>
    </row>
    <row r="3938" spans="1:62" x14ac:dyDescent="0.2">
      <c r="C3938" s="195">
        <v>44806</v>
      </c>
      <c r="D3938" s="55">
        <v>260</v>
      </c>
      <c r="E3938" s="55" t="s">
        <v>7059</v>
      </c>
      <c r="F3938" s="55" t="s">
        <v>231</v>
      </c>
      <c r="G3938" s="55" t="s">
        <v>7060</v>
      </c>
    </row>
    <row r="3939" spans="1:62" x14ac:dyDescent="0.2">
      <c r="A3939" s="57">
        <v>922</v>
      </c>
      <c r="B3939" t="s">
        <v>836</v>
      </c>
      <c r="C3939" s="195">
        <v>44830</v>
      </c>
      <c r="D3939" s="55">
        <v>260</v>
      </c>
      <c r="E3939" s="55" t="s">
        <v>7061</v>
      </c>
      <c r="F3939" s="55" t="s">
        <v>267</v>
      </c>
      <c r="G3939" s="55" t="s">
        <v>268</v>
      </c>
      <c r="I3939" s="46" t="s">
        <v>839</v>
      </c>
      <c r="J3939" s="52">
        <v>1</v>
      </c>
      <c r="K3939" s="52">
        <v>1</v>
      </c>
      <c r="O3939" s="1">
        <v>1</v>
      </c>
      <c r="S3939" s="1">
        <v>1</v>
      </c>
      <c r="W3939" s="1">
        <v>1</v>
      </c>
      <c r="AA3939" s="1">
        <v>1</v>
      </c>
      <c r="AG3939">
        <v>1</v>
      </c>
      <c r="AM3939">
        <v>3</v>
      </c>
      <c r="AS3939">
        <v>3</v>
      </c>
      <c r="AT3939">
        <v>1</v>
      </c>
      <c r="AU3939">
        <v>1</v>
      </c>
      <c r="AZ3939">
        <v>1</v>
      </c>
      <c r="BA3939">
        <v>1</v>
      </c>
      <c r="BB3939">
        <v>1</v>
      </c>
      <c r="BC3939">
        <v>1</v>
      </c>
      <c r="BD3939">
        <v>1</v>
      </c>
      <c r="BE3939">
        <v>1</v>
      </c>
      <c r="BJ3939">
        <v>1</v>
      </c>
    </row>
    <row r="3940" spans="1:62" x14ac:dyDescent="0.2">
      <c r="C3940" s="195">
        <v>44825</v>
      </c>
      <c r="D3940" s="55">
        <v>280</v>
      </c>
      <c r="E3940" s="55" t="s">
        <v>7062</v>
      </c>
      <c r="F3940" s="55" t="s">
        <v>210</v>
      </c>
      <c r="G3940" s="55" t="s">
        <v>508</v>
      </c>
      <c r="H3940" s="50" t="s">
        <v>7063</v>
      </c>
    </row>
    <row r="3941" spans="1:62" x14ac:dyDescent="0.2">
      <c r="C3941" s="195">
        <v>44817</v>
      </c>
      <c r="D3941" s="55">
        <v>260</v>
      </c>
      <c r="E3941" s="55" t="s">
        <v>7064</v>
      </c>
      <c r="F3941" s="55" t="s">
        <v>390</v>
      </c>
      <c r="G3941" s="55" t="s">
        <v>922</v>
      </c>
      <c r="H3941" s="50" t="s">
        <v>7065</v>
      </c>
    </row>
    <row r="3942" spans="1:62" x14ac:dyDescent="0.2">
      <c r="C3942" s="195">
        <v>44833</v>
      </c>
      <c r="D3942" s="55">
        <v>260</v>
      </c>
      <c r="E3942" s="55" t="s">
        <v>7066</v>
      </c>
      <c r="F3942" s="55" t="s">
        <v>291</v>
      </c>
      <c r="G3942" s="55" t="s">
        <v>2723</v>
      </c>
      <c r="H3942" s="50" t="s">
        <v>7067</v>
      </c>
    </row>
    <row r="3943" spans="1:62" x14ac:dyDescent="0.2">
      <c r="C3943" s="195">
        <v>44824</v>
      </c>
      <c r="D3943" s="55">
        <v>280</v>
      </c>
      <c r="E3943" s="55" t="s">
        <v>7068</v>
      </c>
      <c r="F3943" s="55" t="s">
        <v>210</v>
      </c>
      <c r="G3943" s="55" t="s">
        <v>508</v>
      </c>
      <c r="H3943" s="50" t="s">
        <v>7069</v>
      </c>
    </row>
    <row r="3944" spans="1:62" x14ac:dyDescent="0.2">
      <c r="C3944" s="195">
        <v>44812</v>
      </c>
      <c r="D3944" s="55">
        <v>280</v>
      </c>
      <c r="E3944" s="55" t="s">
        <v>7070</v>
      </c>
      <c r="F3944" s="55" t="s">
        <v>244</v>
      </c>
      <c r="G3944" s="55" t="s">
        <v>393</v>
      </c>
      <c r="H3944" s="50" t="s">
        <v>7071</v>
      </c>
    </row>
    <row r="3945" spans="1:62" x14ac:dyDescent="0.2">
      <c r="C3945" s="195">
        <v>44811</v>
      </c>
      <c r="D3945" s="55">
        <v>280</v>
      </c>
      <c r="E3945" s="55" t="s">
        <v>7072</v>
      </c>
      <c r="F3945" s="55" t="s">
        <v>231</v>
      </c>
      <c r="G3945" s="55" t="s">
        <v>648</v>
      </c>
      <c r="H3945" s="50" t="s">
        <v>7073</v>
      </c>
    </row>
    <row r="3946" spans="1:62" x14ac:dyDescent="0.2">
      <c r="C3946" s="195">
        <v>44820</v>
      </c>
      <c r="D3946" s="55">
        <v>260</v>
      </c>
      <c r="E3946" s="55" t="s">
        <v>7074</v>
      </c>
      <c r="F3946" s="55" t="s">
        <v>291</v>
      </c>
      <c r="G3946" s="55" t="s">
        <v>480</v>
      </c>
      <c r="H3946" s="50" t="s">
        <v>7075</v>
      </c>
    </row>
    <row r="3947" spans="1:62" x14ac:dyDescent="0.2">
      <c r="C3947" s="195">
        <v>44825</v>
      </c>
      <c r="D3947" s="55">
        <v>260</v>
      </c>
      <c r="E3947" s="55" t="s">
        <v>7076</v>
      </c>
      <c r="F3947" s="55" t="s">
        <v>231</v>
      </c>
      <c r="G3947" s="55" t="s">
        <v>421</v>
      </c>
      <c r="H3947" s="50" t="s">
        <v>7077</v>
      </c>
    </row>
    <row r="3948" spans="1:62" x14ac:dyDescent="0.2">
      <c r="C3948" s="195">
        <v>44833</v>
      </c>
      <c r="D3948" s="55">
        <v>260</v>
      </c>
      <c r="E3948" s="55" t="s">
        <v>7078</v>
      </c>
      <c r="F3948" s="55" t="s">
        <v>390</v>
      </c>
      <c r="G3948" s="55" t="s">
        <v>922</v>
      </c>
    </row>
    <row r="3949" spans="1:62" x14ac:dyDescent="0.2">
      <c r="C3949" s="195">
        <v>44832</v>
      </c>
      <c r="D3949" s="55">
        <v>260</v>
      </c>
      <c r="E3949" s="55" t="s">
        <v>7079</v>
      </c>
      <c r="F3949" s="55" t="s">
        <v>267</v>
      </c>
      <c r="G3949" s="55" t="s">
        <v>4098</v>
      </c>
      <c r="H3949" s="50" t="s">
        <v>7080</v>
      </c>
    </row>
    <row r="3950" spans="1:62" x14ac:dyDescent="0.2">
      <c r="C3950" s="195">
        <v>44820</v>
      </c>
      <c r="D3950" s="55">
        <v>260</v>
      </c>
      <c r="E3950" s="55" t="s">
        <v>7081</v>
      </c>
      <c r="F3950" s="55" t="s">
        <v>390</v>
      </c>
      <c r="G3950" s="55" t="s">
        <v>391</v>
      </c>
      <c r="H3950" s="50" t="s">
        <v>7082</v>
      </c>
    </row>
    <row r="3951" spans="1:62" x14ac:dyDescent="0.2">
      <c r="C3951" s="195">
        <v>44817</v>
      </c>
      <c r="D3951" s="55">
        <v>280</v>
      </c>
      <c r="E3951" s="55" t="s">
        <v>7083</v>
      </c>
      <c r="F3951" s="55" t="s">
        <v>390</v>
      </c>
      <c r="G3951" s="55" t="s">
        <v>922</v>
      </c>
      <c r="H3951" s="50" t="s">
        <v>7084</v>
      </c>
    </row>
    <row r="3952" spans="1:62" x14ac:dyDescent="0.2">
      <c r="A3952" s="57">
        <v>922</v>
      </c>
      <c r="B3952" t="s">
        <v>836</v>
      </c>
      <c r="C3952" s="195">
        <v>44831</v>
      </c>
      <c r="D3952" s="55">
        <v>260</v>
      </c>
      <c r="E3952" s="55" t="s">
        <v>7085</v>
      </c>
      <c r="F3952" s="55" t="s">
        <v>267</v>
      </c>
      <c r="G3952" s="55" t="s">
        <v>1109</v>
      </c>
      <c r="H3952" s="50" t="s">
        <v>224</v>
      </c>
      <c r="I3952" s="46" t="s">
        <v>839</v>
      </c>
      <c r="J3952" s="52">
        <v>1</v>
      </c>
      <c r="K3952" s="52">
        <v>1</v>
      </c>
      <c r="O3952" s="1">
        <v>1</v>
      </c>
      <c r="S3952" s="1">
        <v>1</v>
      </c>
      <c r="W3952" s="1">
        <v>1</v>
      </c>
      <c r="AA3952" s="1">
        <v>2</v>
      </c>
      <c r="AG3952">
        <v>1</v>
      </c>
      <c r="AM3952">
        <v>4</v>
      </c>
      <c r="AS3952">
        <v>4</v>
      </c>
      <c r="AT3952">
        <v>5</v>
      </c>
      <c r="AU3952">
        <v>5</v>
      </c>
      <c r="AZ3952">
        <v>5</v>
      </c>
      <c r="BA3952">
        <v>4</v>
      </c>
      <c r="BB3952">
        <v>4</v>
      </c>
      <c r="BC3952">
        <v>4</v>
      </c>
      <c r="BD3952">
        <v>4</v>
      </c>
      <c r="BE3952">
        <v>5</v>
      </c>
      <c r="BJ3952">
        <v>5</v>
      </c>
    </row>
    <row r="3953" spans="1:68" x14ac:dyDescent="0.2">
      <c r="C3953" s="195">
        <v>44833</v>
      </c>
      <c r="D3953" s="55">
        <v>280</v>
      </c>
      <c r="E3953" s="55" t="s">
        <v>7086</v>
      </c>
      <c r="F3953" s="55" t="s">
        <v>202</v>
      </c>
      <c r="G3953" s="55" t="s">
        <v>321</v>
      </c>
      <c r="H3953" s="50" t="s">
        <v>7087</v>
      </c>
    </row>
    <row r="3954" spans="1:68" x14ac:dyDescent="0.2">
      <c r="C3954" s="195">
        <v>44831</v>
      </c>
      <c r="D3954" s="55">
        <v>280</v>
      </c>
      <c r="E3954" s="55" t="s">
        <v>7088</v>
      </c>
      <c r="F3954" s="55" t="s">
        <v>210</v>
      </c>
      <c r="G3954" s="55" t="s">
        <v>496</v>
      </c>
      <c r="H3954" s="50" t="s">
        <v>7089</v>
      </c>
    </row>
    <row r="3955" spans="1:68" x14ac:dyDescent="0.2">
      <c r="A3955" s="57">
        <v>922</v>
      </c>
      <c r="B3955" t="s">
        <v>836</v>
      </c>
      <c r="C3955" s="195">
        <v>44832</v>
      </c>
      <c r="D3955" s="55">
        <v>280</v>
      </c>
      <c r="E3955" s="55" t="s">
        <v>7090</v>
      </c>
      <c r="F3955" s="55" t="s">
        <v>263</v>
      </c>
      <c r="G3955" s="55" t="s">
        <v>506</v>
      </c>
      <c r="H3955" s="50" t="s">
        <v>224</v>
      </c>
      <c r="I3955" s="46" t="s">
        <v>839</v>
      </c>
      <c r="J3955" s="52">
        <v>1</v>
      </c>
      <c r="K3955" s="52">
        <v>1</v>
      </c>
      <c r="O3955" s="1">
        <v>1</v>
      </c>
      <c r="S3955" s="1">
        <v>1</v>
      </c>
      <c r="W3955" s="1">
        <v>1</v>
      </c>
      <c r="AA3955" s="1">
        <v>1</v>
      </c>
      <c r="AG3955">
        <v>1</v>
      </c>
      <c r="AM3955">
        <v>1</v>
      </c>
      <c r="AN3955">
        <v>4</v>
      </c>
      <c r="AO3955">
        <v>4</v>
      </c>
      <c r="AP3955">
        <v>4</v>
      </c>
      <c r="AQ3955">
        <v>4</v>
      </c>
      <c r="AR3955">
        <v>4</v>
      </c>
      <c r="AS3955">
        <v>1</v>
      </c>
      <c r="AT3955">
        <v>1</v>
      </c>
      <c r="AU3955">
        <v>1</v>
      </c>
      <c r="AZ3955">
        <v>5</v>
      </c>
      <c r="BA3955">
        <v>4</v>
      </c>
      <c r="BB3955">
        <v>4</v>
      </c>
      <c r="BC3955">
        <v>4</v>
      </c>
      <c r="BD3955">
        <v>4</v>
      </c>
      <c r="BE3955">
        <v>1</v>
      </c>
      <c r="BJ3955">
        <v>1</v>
      </c>
    </row>
    <row r="3956" spans="1:68" x14ac:dyDescent="0.2">
      <c r="C3956" s="195">
        <v>44830</v>
      </c>
      <c r="D3956" s="55">
        <v>280</v>
      </c>
      <c r="E3956" s="55" t="s">
        <v>7091</v>
      </c>
      <c r="F3956" s="55" t="s">
        <v>231</v>
      </c>
      <c r="G3956" s="55" t="s">
        <v>648</v>
      </c>
      <c r="H3956" s="50" t="s">
        <v>7092</v>
      </c>
    </row>
    <row r="3957" spans="1:68" x14ac:dyDescent="0.2">
      <c r="A3957" s="57">
        <v>922</v>
      </c>
      <c r="B3957" t="s">
        <v>3655</v>
      </c>
      <c r="C3957" s="195">
        <v>44837.618321759262</v>
      </c>
      <c r="D3957" s="55">
        <v>280</v>
      </c>
      <c r="I3957" s="46" t="s">
        <v>839</v>
      </c>
      <c r="J3957" s="162">
        <v>1</v>
      </c>
      <c r="K3957" s="162">
        <v>1</v>
      </c>
      <c r="L3957" s="162"/>
      <c r="M3957" s="162"/>
      <c r="N3957" s="162"/>
      <c r="O3957" s="162">
        <v>1</v>
      </c>
      <c r="P3957" s="162"/>
      <c r="Q3957" s="162"/>
      <c r="R3957" s="162"/>
      <c r="S3957" s="162">
        <v>1</v>
      </c>
      <c r="T3957" s="162"/>
      <c r="U3957" s="162"/>
      <c r="V3957" s="162"/>
      <c r="W3957" s="162">
        <v>1</v>
      </c>
      <c r="X3957" s="162"/>
      <c r="Y3957" s="162"/>
      <c r="Z3957" s="162"/>
      <c r="AA3957" s="162">
        <v>2</v>
      </c>
      <c r="AB3957" s="162"/>
      <c r="AC3957" s="162"/>
      <c r="AD3957" s="162"/>
      <c r="AE3957" s="162"/>
      <c r="AF3957" s="162"/>
      <c r="AG3957" s="162">
        <v>4</v>
      </c>
      <c r="AH3957" s="162">
        <v>2</v>
      </c>
      <c r="AI3957" s="162">
        <v>1</v>
      </c>
      <c r="AJ3957" s="162">
        <v>3</v>
      </c>
      <c r="AK3957" s="162">
        <v>2</v>
      </c>
      <c r="AL3957" s="162">
        <v>2</v>
      </c>
      <c r="AM3957" s="162">
        <v>1</v>
      </c>
      <c r="AN3957" s="162">
        <v>1</v>
      </c>
      <c r="AO3957" s="162">
        <v>2</v>
      </c>
      <c r="AP3957" s="162">
        <v>2</v>
      </c>
      <c r="AQ3957" s="162">
        <v>1</v>
      </c>
      <c r="AR3957" s="162">
        <v>3</v>
      </c>
      <c r="AS3957" s="162">
        <v>1</v>
      </c>
      <c r="AT3957" s="162">
        <v>1</v>
      </c>
      <c r="AU3957" s="162">
        <v>1</v>
      </c>
      <c r="AV3957" s="162"/>
      <c r="AW3957" s="162"/>
      <c r="AX3957" s="162"/>
      <c r="AY3957" s="162"/>
      <c r="AZ3957" s="162">
        <v>2</v>
      </c>
      <c r="BA3957" s="162">
        <v>1</v>
      </c>
      <c r="BB3957" s="162">
        <v>1</v>
      </c>
      <c r="BC3957" s="162">
        <v>1</v>
      </c>
      <c r="BD3957" s="162">
        <v>1</v>
      </c>
      <c r="BE3957" s="162">
        <v>2</v>
      </c>
      <c r="BF3957" s="162"/>
      <c r="BG3957" s="162"/>
      <c r="BH3957" s="162"/>
      <c r="BI3957" s="162"/>
      <c r="BJ3957" s="162">
        <v>1</v>
      </c>
      <c r="BK3957" s="162"/>
      <c r="BL3957" s="162"/>
      <c r="BM3957" s="162"/>
      <c r="BN3957" s="162"/>
      <c r="BO3957" s="162"/>
      <c r="BP3957" s="162"/>
    </row>
    <row r="3958" spans="1:68" x14ac:dyDescent="0.2">
      <c r="A3958" s="57">
        <v>822</v>
      </c>
      <c r="B3958" t="s">
        <v>3655</v>
      </c>
      <c r="C3958" s="195">
        <v>44811.64371527778</v>
      </c>
      <c r="D3958" s="55">
        <v>280</v>
      </c>
      <c r="I3958" s="46" t="s">
        <v>839</v>
      </c>
      <c r="J3958" s="162">
        <v>1</v>
      </c>
      <c r="K3958" s="162">
        <v>1</v>
      </c>
      <c r="L3958" s="162"/>
      <c r="M3958" s="162"/>
      <c r="N3958" s="162"/>
      <c r="O3958" s="162">
        <v>1</v>
      </c>
      <c r="P3958" s="162"/>
      <c r="Q3958" s="162"/>
      <c r="R3958" s="162"/>
      <c r="S3958" s="162">
        <v>1</v>
      </c>
      <c r="T3958" s="162"/>
      <c r="U3958" s="162"/>
      <c r="V3958" s="162"/>
      <c r="W3958" s="162">
        <v>1</v>
      </c>
      <c r="X3958" s="162"/>
      <c r="Y3958" s="162"/>
      <c r="Z3958" s="162"/>
      <c r="AA3958" s="162">
        <v>1</v>
      </c>
      <c r="AB3958" s="162"/>
      <c r="AC3958" s="162"/>
      <c r="AD3958" s="162"/>
      <c r="AE3958" s="162"/>
      <c r="AF3958" s="162"/>
      <c r="AG3958" s="162">
        <v>1</v>
      </c>
      <c r="AH3958" s="162"/>
      <c r="AI3958" s="162"/>
      <c r="AJ3958" s="162"/>
      <c r="AK3958" s="162"/>
      <c r="AL3958" s="162"/>
      <c r="AM3958" s="162">
        <v>4</v>
      </c>
      <c r="AN3958" s="162"/>
      <c r="AO3958" s="162"/>
      <c r="AP3958" s="162"/>
      <c r="AQ3958" s="162"/>
      <c r="AR3958" s="162"/>
      <c r="AS3958" s="162">
        <v>4</v>
      </c>
      <c r="AT3958" s="162">
        <v>1</v>
      </c>
      <c r="AU3958" s="162">
        <v>1</v>
      </c>
      <c r="AV3958" s="162"/>
      <c r="AW3958" s="162"/>
      <c r="AX3958" s="162"/>
      <c r="AY3958" s="162"/>
      <c r="AZ3958" s="162">
        <v>1</v>
      </c>
      <c r="BA3958" s="162">
        <v>1</v>
      </c>
      <c r="BB3958" s="162">
        <v>1</v>
      </c>
      <c r="BC3958" s="162">
        <v>1</v>
      </c>
      <c r="BD3958" s="162">
        <v>1</v>
      </c>
      <c r="BE3958" s="162">
        <v>2</v>
      </c>
      <c r="BF3958" s="162"/>
      <c r="BG3958" s="162"/>
      <c r="BH3958" s="162"/>
      <c r="BI3958" s="162"/>
      <c r="BJ3958" s="162">
        <v>1</v>
      </c>
      <c r="BK3958" s="162"/>
      <c r="BL3958" s="162"/>
      <c r="BM3958" s="162"/>
      <c r="BN3958" s="162"/>
      <c r="BO3958" s="162"/>
      <c r="BP3958" s="162"/>
    </row>
    <row r="3959" spans="1:68" x14ac:dyDescent="0.2">
      <c r="A3959" s="57">
        <v>822</v>
      </c>
      <c r="B3959" s="162" t="s">
        <v>3655</v>
      </c>
      <c r="C3959" s="195">
        <v>44807.441527777781</v>
      </c>
      <c r="D3959" s="55">
        <v>280</v>
      </c>
      <c r="I3959" s="46" t="s">
        <v>839</v>
      </c>
      <c r="J3959" s="162">
        <v>1</v>
      </c>
      <c r="K3959" s="162">
        <v>1</v>
      </c>
      <c r="L3959" s="162"/>
      <c r="M3959" s="162"/>
      <c r="N3959" s="162"/>
      <c r="O3959" s="162">
        <v>1</v>
      </c>
      <c r="P3959" s="162"/>
      <c r="Q3959" s="162"/>
      <c r="R3959" s="162"/>
      <c r="S3959" s="162">
        <v>1</v>
      </c>
      <c r="T3959" s="162"/>
      <c r="U3959" s="162"/>
      <c r="V3959" s="162"/>
      <c r="W3959" s="162">
        <v>1</v>
      </c>
      <c r="X3959" s="162"/>
      <c r="Y3959" s="162"/>
      <c r="Z3959" s="162"/>
      <c r="AA3959" s="162">
        <v>1</v>
      </c>
      <c r="AB3959" s="162"/>
      <c r="AC3959" s="162"/>
      <c r="AD3959" s="162"/>
      <c r="AE3959" s="162"/>
      <c r="AF3959" s="162"/>
      <c r="AG3959" s="162">
        <v>1</v>
      </c>
      <c r="AH3959" s="162"/>
      <c r="AI3959" s="162"/>
      <c r="AJ3959" s="162"/>
      <c r="AK3959" s="162"/>
      <c r="AL3959" s="162"/>
      <c r="AM3959" s="162">
        <v>1</v>
      </c>
      <c r="AN3959" s="162">
        <v>3</v>
      </c>
      <c r="AO3959" s="162">
        <v>3</v>
      </c>
      <c r="AP3959" s="162">
        <v>1</v>
      </c>
      <c r="AQ3959" s="162">
        <v>3</v>
      </c>
      <c r="AR3959" s="162">
        <v>3</v>
      </c>
      <c r="AS3959" s="162">
        <v>5</v>
      </c>
      <c r="AT3959" s="162">
        <v>5</v>
      </c>
      <c r="AU3959" s="162">
        <v>5</v>
      </c>
      <c r="AV3959" s="162"/>
      <c r="AW3959" s="162"/>
      <c r="AX3959" s="162"/>
      <c r="AY3959" s="162"/>
      <c r="AZ3959" s="162">
        <v>5</v>
      </c>
      <c r="BA3959" s="162">
        <v>4</v>
      </c>
      <c r="BB3959" s="162">
        <v>4</v>
      </c>
      <c r="BC3959" s="162">
        <v>4</v>
      </c>
      <c r="BD3959" s="162">
        <v>4</v>
      </c>
      <c r="BE3959" s="162">
        <v>5</v>
      </c>
      <c r="BF3959" s="162"/>
      <c r="BG3959" s="162"/>
      <c r="BH3959" s="162"/>
      <c r="BI3959" s="162"/>
      <c r="BJ3959" s="162">
        <v>5</v>
      </c>
      <c r="BK3959" s="162"/>
      <c r="BL3959" s="162"/>
      <c r="BM3959" s="162"/>
      <c r="BN3959" s="162"/>
      <c r="BO3959" s="162"/>
      <c r="BP3959" s="162"/>
    </row>
    <row r="3960" spans="1:68" x14ac:dyDescent="0.2">
      <c r="A3960" s="57">
        <v>822</v>
      </c>
      <c r="B3960" s="162" t="s">
        <v>3655</v>
      </c>
      <c r="C3960" s="195">
        <v>44805.614166666666</v>
      </c>
      <c r="D3960" s="55">
        <v>280</v>
      </c>
      <c r="I3960" s="46" t="s">
        <v>839</v>
      </c>
      <c r="J3960" s="162">
        <v>1</v>
      </c>
      <c r="K3960" s="162">
        <v>1</v>
      </c>
      <c r="L3960" s="162"/>
      <c r="M3960" s="162"/>
      <c r="N3960" s="162"/>
      <c r="O3960" s="162">
        <v>1</v>
      </c>
      <c r="P3960" s="162"/>
      <c r="Q3960" s="162"/>
      <c r="R3960" s="162"/>
      <c r="S3960" s="162">
        <v>1</v>
      </c>
      <c r="T3960" s="162"/>
      <c r="U3960" s="162"/>
      <c r="V3960" s="162"/>
      <c r="W3960" s="162">
        <v>1</v>
      </c>
      <c r="X3960" s="162"/>
      <c r="Y3960" s="162"/>
      <c r="Z3960" s="162"/>
      <c r="AA3960" s="162">
        <v>1</v>
      </c>
      <c r="AB3960" s="162"/>
      <c r="AC3960" s="162"/>
      <c r="AD3960" s="162"/>
      <c r="AE3960" s="162"/>
      <c r="AF3960" s="162"/>
      <c r="AG3960" s="162">
        <v>1</v>
      </c>
      <c r="AH3960" s="162"/>
      <c r="AI3960" s="162"/>
      <c r="AJ3960" s="162"/>
      <c r="AK3960" s="162"/>
      <c r="AL3960" s="162"/>
      <c r="AM3960" s="162">
        <v>4</v>
      </c>
      <c r="AN3960" s="162"/>
      <c r="AO3960" s="162"/>
      <c r="AP3960" s="162"/>
      <c r="AQ3960" s="162"/>
      <c r="AR3960" s="162"/>
      <c r="AS3960" s="162">
        <v>4</v>
      </c>
      <c r="AT3960" s="162">
        <v>1</v>
      </c>
      <c r="AU3960" s="162">
        <v>1</v>
      </c>
      <c r="AV3960" s="162"/>
      <c r="AW3960" s="162"/>
      <c r="AX3960" s="162"/>
      <c r="AY3960" s="162"/>
      <c r="AZ3960" s="162">
        <v>1</v>
      </c>
      <c r="BA3960" s="162">
        <v>1</v>
      </c>
      <c r="BB3960" s="162">
        <v>1</v>
      </c>
      <c r="BC3960" s="162">
        <v>1</v>
      </c>
      <c r="BD3960" s="162">
        <v>1</v>
      </c>
      <c r="BE3960" s="162">
        <v>1</v>
      </c>
      <c r="BF3960" s="162"/>
      <c r="BG3960" s="162"/>
      <c r="BH3960" s="162"/>
      <c r="BI3960" s="162"/>
      <c r="BJ3960" s="162">
        <v>1</v>
      </c>
      <c r="BK3960" s="162"/>
      <c r="BL3960" s="162"/>
      <c r="BM3960" s="162"/>
      <c r="BN3960" s="162"/>
      <c r="BO3960" s="162"/>
      <c r="BP3960" s="162"/>
    </row>
    <row r="3961" spans="1:68" x14ac:dyDescent="0.2">
      <c r="A3961" s="57">
        <v>822</v>
      </c>
      <c r="B3961" s="162" t="s">
        <v>3655</v>
      </c>
      <c r="C3961" s="195">
        <v>44805.483958333331</v>
      </c>
      <c r="D3961" s="55">
        <v>280</v>
      </c>
      <c r="I3961" s="46" t="s">
        <v>839</v>
      </c>
      <c r="J3961" s="162">
        <v>1</v>
      </c>
      <c r="K3961" s="162">
        <v>1</v>
      </c>
      <c r="L3961" s="162"/>
      <c r="M3961" s="162"/>
      <c r="N3961" s="162"/>
      <c r="O3961" s="162">
        <v>1</v>
      </c>
      <c r="P3961" s="162"/>
      <c r="Q3961" s="162"/>
      <c r="R3961" s="162"/>
      <c r="S3961" s="162">
        <v>1</v>
      </c>
      <c r="T3961" s="162"/>
      <c r="U3961" s="162"/>
      <c r="V3961" s="162"/>
      <c r="W3961" s="162">
        <v>1</v>
      </c>
      <c r="X3961" s="162"/>
      <c r="Y3961" s="162"/>
      <c r="Z3961" s="162"/>
      <c r="AA3961" s="162">
        <v>1</v>
      </c>
      <c r="AB3961" s="162"/>
      <c r="AC3961" s="162"/>
      <c r="AD3961" s="162"/>
      <c r="AE3961" s="162"/>
      <c r="AF3961" s="162"/>
      <c r="AG3961" s="162">
        <v>1</v>
      </c>
      <c r="AH3961" s="162"/>
      <c r="AI3961" s="162"/>
      <c r="AJ3961" s="162"/>
      <c r="AK3961" s="162"/>
      <c r="AL3961" s="162"/>
      <c r="AM3961" s="162">
        <v>4</v>
      </c>
      <c r="AN3961" s="162"/>
      <c r="AO3961" s="162"/>
      <c r="AP3961" s="162"/>
      <c r="AQ3961" s="162"/>
      <c r="AR3961" s="162"/>
      <c r="AS3961" s="162">
        <v>4</v>
      </c>
      <c r="AT3961" s="162">
        <v>1</v>
      </c>
      <c r="AU3961" s="162">
        <v>1</v>
      </c>
      <c r="AV3961" s="162"/>
      <c r="AW3961" s="162"/>
      <c r="AX3961" s="162"/>
      <c r="AY3961" s="162"/>
      <c r="AZ3961" s="162">
        <v>1</v>
      </c>
      <c r="BA3961" s="162">
        <v>1</v>
      </c>
      <c r="BB3961" s="162">
        <v>1</v>
      </c>
      <c r="BC3961" s="162">
        <v>1</v>
      </c>
      <c r="BD3961" s="162">
        <v>1</v>
      </c>
      <c r="BE3961" s="162">
        <v>1</v>
      </c>
      <c r="BF3961" s="162"/>
      <c r="BG3961" s="162"/>
      <c r="BH3961" s="162"/>
      <c r="BI3961" s="162"/>
      <c r="BJ3961" s="162">
        <v>1</v>
      </c>
      <c r="BK3961" s="162"/>
      <c r="BL3961" s="162"/>
      <c r="BM3961" s="162"/>
      <c r="BN3961" s="162"/>
      <c r="BO3961" s="162"/>
      <c r="BP3961" s="162"/>
    </row>
    <row r="3962" spans="1:68" x14ac:dyDescent="0.2">
      <c r="A3962" s="57">
        <v>822</v>
      </c>
      <c r="B3962" s="162" t="s">
        <v>3655</v>
      </c>
      <c r="C3962" s="195">
        <v>44805.43577546296</v>
      </c>
      <c r="D3962" s="55">
        <v>280</v>
      </c>
      <c r="I3962" s="46" t="s">
        <v>839</v>
      </c>
      <c r="J3962" s="162">
        <v>1</v>
      </c>
      <c r="K3962" s="162">
        <v>1</v>
      </c>
      <c r="L3962" s="162"/>
      <c r="M3962" s="162"/>
      <c r="N3962" s="162"/>
      <c r="O3962" s="162">
        <v>1</v>
      </c>
      <c r="P3962" s="162"/>
      <c r="Q3962" s="162"/>
      <c r="R3962" s="162"/>
      <c r="S3962" s="162">
        <v>1</v>
      </c>
      <c r="T3962" s="162"/>
      <c r="U3962" s="162"/>
      <c r="V3962" s="162"/>
      <c r="W3962" s="162">
        <v>1</v>
      </c>
      <c r="X3962" s="162"/>
      <c r="Y3962" s="162"/>
      <c r="Z3962" s="162"/>
      <c r="AA3962" s="162">
        <v>1</v>
      </c>
      <c r="AB3962" s="162"/>
      <c r="AC3962" s="162"/>
      <c r="AD3962" s="162"/>
      <c r="AE3962" s="162"/>
      <c r="AF3962" s="162"/>
      <c r="AG3962" s="162">
        <v>4</v>
      </c>
      <c r="AH3962" s="162">
        <v>3</v>
      </c>
      <c r="AI3962" s="162">
        <v>1</v>
      </c>
      <c r="AJ3962" s="162">
        <v>2</v>
      </c>
      <c r="AK3962" s="162">
        <v>3</v>
      </c>
      <c r="AL3962" s="162">
        <v>3</v>
      </c>
      <c r="AM3962" s="162">
        <v>1</v>
      </c>
      <c r="AN3962" s="162">
        <v>1</v>
      </c>
      <c r="AO3962" s="162">
        <v>1</v>
      </c>
      <c r="AP3962" s="162">
        <v>1</v>
      </c>
      <c r="AQ3962" s="162">
        <v>2</v>
      </c>
      <c r="AR3962" s="162">
        <v>2</v>
      </c>
      <c r="AS3962" s="162">
        <v>4</v>
      </c>
      <c r="AT3962" s="162">
        <v>1</v>
      </c>
      <c r="AU3962" s="162">
        <v>1</v>
      </c>
      <c r="AV3962" s="162"/>
      <c r="AW3962" s="162"/>
      <c r="AX3962" s="162"/>
      <c r="AY3962" s="162"/>
      <c r="AZ3962" s="162">
        <v>1</v>
      </c>
      <c r="BA3962" s="162">
        <v>1</v>
      </c>
      <c r="BB3962" s="162">
        <v>1</v>
      </c>
      <c r="BC3962" s="162">
        <v>1</v>
      </c>
      <c r="BD3962" s="162">
        <v>1</v>
      </c>
      <c r="BE3962" s="162">
        <v>1</v>
      </c>
      <c r="BF3962" s="162"/>
      <c r="BG3962" s="162"/>
      <c r="BH3962" s="162"/>
      <c r="BI3962" s="162"/>
      <c r="BJ3962" s="162">
        <v>1</v>
      </c>
      <c r="BK3962" s="162"/>
      <c r="BL3962" s="162"/>
      <c r="BM3962" s="162"/>
      <c r="BN3962" s="162"/>
      <c r="BO3962" s="162"/>
      <c r="BP3962" s="162"/>
    </row>
    <row r="3963" spans="1:68" x14ac:dyDescent="0.2">
      <c r="A3963" s="57">
        <v>822</v>
      </c>
      <c r="B3963" s="162" t="s">
        <v>3655</v>
      </c>
      <c r="C3963" s="195">
        <v>44805.401469907411</v>
      </c>
      <c r="D3963" s="55">
        <v>280</v>
      </c>
      <c r="I3963" s="46" t="s">
        <v>839</v>
      </c>
      <c r="J3963" s="162">
        <v>1</v>
      </c>
      <c r="K3963" s="162">
        <v>1</v>
      </c>
      <c r="L3963" s="162"/>
      <c r="M3963" s="162"/>
      <c r="N3963" s="162"/>
      <c r="O3963" s="162">
        <v>1</v>
      </c>
      <c r="P3963" s="162"/>
      <c r="Q3963" s="162"/>
      <c r="R3963" s="162"/>
      <c r="S3963" s="162">
        <v>1</v>
      </c>
      <c r="T3963" s="162"/>
      <c r="U3963" s="162"/>
      <c r="V3963" s="162"/>
      <c r="W3963" s="162">
        <v>1</v>
      </c>
      <c r="X3963" s="162"/>
      <c r="Y3963" s="162"/>
      <c r="Z3963" s="162"/>
      <c r="AA3963" s="162">
        <v>1</v>
      </c>
      <c r="AB3963" s="162"/>
      <c r="AC3963" s="162"/>
      <c r="AD3963" s="162"/>
      <c r="AE3963" s="162"/>
      <c r="AF3963" s="162"/>
      <c r="AG3963" s="162">
        <v>1</v>
      </c>
      <c r="AH3963" s="162"/>
      <c r="AI3963" s="162"/>
      <c r="AJ3963" s="162"/>
      <c r="AK3963" s="162"/>
      <c r="AL3963" s="162"/>
      <c r="AM3963" s="162">
        <v>4</v>
      </c>
      <c r="AN3963" s="162"/>
      <c r="AO3963" s="162"/>
      <c r="AP3963" s="162"/>
      <c r="AQ3963" s="162"/>
      <c r="AR3963" s="162"/>
      <c r="AS3963" s="162">
        <v>4</v>
      </c>
      <c r="AT3963" s="162">
        <v>1</v>
      </c>
      <c r="AU3963" s="162">
        <v>1</v>
      </c>
      <c r="AV3963" s="162"/>
      <c r="AW3963" s="162"/>
      <c r="AX3963" s="162"/>
      <c r="AY3963" s="162"/>
      <c r="AZ3963" s="162">
        <v>1</v>
      </c>
      <c r="BA3963" s="162">
        <v>1</v>
      </c>
      <c r="BB3963" s="162">
        <v>1</v>
      </c>
      <c r="BC3963" s="162">
        <v>3</v>
      </c>
      <c r="BD3963" s="162">
        <v>1</v>
      </c>
      <c r="BE3963" s="162">
        <v>1</v>
      </c>
      <c r="BF3963" s="162"/>
      <c r="BG3963" s="162"/>
      <c r="BH3963" s="162"/>
      <c r="BI3963" s="162"/>
      <c r="BJ3963" s="162">
        <v>1</v>
      </c>
      <c r="BK3963" s="162"/>
      <c r="BL3963" s="162"/>
      <c r="BM3963" s="162"/>
      <c r="BN3963" s="162"/>
      <c r="BO3963" s="162"/>
      <c r="BP3963" s="162"/>
    </row>
    <row r="3964" spans="1:68" x14ac:dyDescent="0.2">
      <c r="A3964" s="57">
        <v>722</v>
      </c>
      <c r="B3964" s="162" t="s">
        <v>3655</v>
      </c>
      <c r="C3964" s="195">
        <v>44784.522881944446</v>
      </c>
      <c r="D3964" s="55">
        <v>280</v>
      </c>
      <c r="I3964" s="46" t="s">
        <v>839</v>
      </c>
      <c r="J3964" s="162">
        <v>1</v>
      </c>
      <c r="K3964" s="162">
        <v>1</v>
      </c>
      <c r="L3964" s="162"/>
      <c r="M3964" s="162"/>
      <c r="N3964" s="162"/>
      <c r="O3964" s="162">
        <v>1</v>
      </c>
      <c r="P3964" s="162"/>
      <c r="Q3964" s="162"/>
      <c r="R3964" s="162"/>
      <c r="S3964" s="162">
        <v>1</v>
      </c>
      <c r="T3964" s="162"/>
      <c r="U3964" s="162"/>
      <c r="V3964" s="162"/>
      <c r="W3964" s="162">
        <v>1</v>
      </c>
      <c r="X3964" s="162"/>
      <c r="Y3964" s="162"/>
      <c r="Z3964" s="162"/>
      <c r="AA3964" s="162">
        <v>3</v>
      </c>
      <c r="AB3964" s="162">
        <v>1</v>
      </c>
      <c r="AC3964" s="162">
        <v>1</v>
      </c>
      <c r="AD3964" s="162">
        <v>1</v>
      </c>
      <c r="AE3964" s="162">
        <v>1</v>
      </c>
      <c r="AF3964" s="162">
        <v>1</v>
      </c>
      <c r="AG3964" s="162">
        <v>4</v>
      </c>
      <c r="AH3964" s="162">
        <v>2</v>
      </c>
      <c r="AI3964" s="162">
        <v>1</v>
      </c>
      <c r="AJ3964" s="162">
        <v>3</v>
      </c>
      <c r="AK3964" s="162">
        <v>1</v>
      </c>
      <c r="AL3964" s="162">
        <v>2</v>
      </c>
      <c r="AM3964" s="162">
        <v>4</v>
      </c>
      <c r="AN3964" s="162"/>
      <c r="AO3964" s="162"/>
      <c r="AP3964" s="162"/>
      <c r="AQ3964" s="162"/>
      <c r="AR3964" s="162"/>
      <c r="AS3964" s="162">
        <v>1</v>
      </c>
      <c r="AT3964" s="162">
        <v>1</v>
      </c>
      <c r="AU3964" s="162">
        <v>3</v>
      </c>
      <c r="AV3964" s="162">
        <v>1</v>
      </c>
      <c r="AW3964" s="162">
        <v>2</v>
      </c>
      <c r="AX3964" s="162">
        <v>2</v>
      </c>
      <c r="AY3964" s="162">
        <v>2</v>
      </c>
      <c r="AZ3964" s="162">
        <v>1</v>
      </c>
      <c r="BA3964" s="162">
        <v>1</v>
      </c>
      <c r="BB3964" s="162">
        <v>2</v>
      </c>
      <c r="BC3964" s="162">
        <v>2</v>
      </c>
      <c r="BD3964" s="162">
        <v>2</v>
      </c>
      <c r="BE3964" s="162">
        <v>4</v>
      </c>
      <c r="BF3964" s="162">
        <v>2</v>
      </c>
      <c r="BG3964" s="162">
        <v>2</v>
      </c>
      <c r="BH3964" s="162">
        <v>2</v>
      </c>
      <c r="BI3964" s="162">
        <v>2</v>
      </c>
      <c r="BJ3964" s="162">
        <v>4</v>
      </c>
      <c r="BK3964" s="162">
        <v>2</v>
      </c>
      <c r="BL3964" s="162">
        <v>2</v>
      </c>
      <c r="BM3964" s="162">
        <v>3</v>
      </c>
      <c r="BN3964" s="162">
        <v>3</v>
      </c>
      <c r="BO3964" s="162"/>
      <c r="BP3964" s="162"/>
    </row>
    <row r="3965" spans="1:68" x14ac:dyDescent="0.2">
      <c r="A3965" s="57">
        <v>722</v>
      </c>
      <c r="B3965" s="162" t="s">
        <v>3655</v>
      </c>
      <c r="C3965" s="195">
        <v>44781.471458333333</v>
      </c>
      <c r="D3965" s="55">
        <v>280</v>
      </c>
      <c r="I3965" s="46" t="s">
        <v>839</v>
      </c>
      <c r="J3965" s="162">
        <v>1</v>
      </c>
      <c r="K3965" s="162">
        <v>1</v>
      </c>
      <c r="L3965" s="162"/>
      <c r="M3965" s="162"/>
      <c r="N3965" s="162"/>
      <c r="O3965" s="162">
        <v>1</v>
      </c>
      <c r="P3965" s="162"/>
      <c r="Q3965" s="162"/>
      <c r="R3965" s="162"/>
      <c r="S3965" s="162">
        <v>1</v>
      </c>
      <c r="T3965" s="162"/>
      <c r="U3965" s="162"/>
      <c r="V3965" s="162"/>
      <c r="W3965" s="162">
        <v>1</v>
      </c>
      <c r="X3965" s="162"/>
      <c r="Y3965" s="162"/>
      <c r="Z3965" s="162"/>
      <c r="AA3965" s="162">
        <v>1</v>
      </c>
      <c r="AB3965" s="162"/>
      <c r="AC3965" s="162"/>
      <c r="AD3965" s="162"/>
      <c r="AE3965" s="162"/>
      <c r="AF3965" s="162"/>
      <c r="AG3965" s="162">
        <v>4</v>
      </c>
      <c r="AH3965" s="162">
        <v>1</v>
      </c>
      <c r="AI3965" s="162">
        <v>3</v>
      </c>
      <c r="AJ3965" s="162">
        <v>3</v>
      </c>
      <c r="AK3965" s="162">
        <v>3</v>
      </c>
      <c r="AL3965" s="162">
        <v>1</v>
      </c>
      <c r="AM3965" s="162">
        <v>1</v>
      </c>
      <c r="AN3965" s="162">
        <v>1</v>
      </c>
      <c r="AO3965" s="162">
        <v>1</v>
      </c>
      <c r="AP3965" s="162">
        <v>1</v>
      </c>
      <c r="AQ3965" s="162">
        <v>1</v>
      </c>
      <c r="AR3965" s="162">
        <v>2</v>
      </c>
      <c r="AS3965" s="162">
        <v>3</v>
      </c>
      <c r="AT3965" s="162">
        <v>1</v>
      </c>
      <c r="AU3965" s="162">
        <v>2</v>
      </c>
      <c r="AV3965" s="162"/>
      <c r="AW3965" s="162"/>
      <c r="AX3965" s="162"/>
      <c r="AY3965" s="162"/>
      <c r="AZ3965" s="162">
        <v>1</v>
      </c>
      <c r="BA3965" s="162">
        <v>1</v>
      </c>
      <c r="BB3965" s="162">
        <v>1</v>
      </c>
      <c r="BC3965" s="162">
        <v>1</v>
      </c>
      <c r="BD3965" s="162">
        <v>1</v>
      </c>
      <c r="BE3965" s="162">
        <v>1</v>
      </c>
      <c r="BF3965" s="162"/>
      <c r="BG3965" s="162"/>
      <c r="BH3965" s="162"/>
      <c r="BI3965" s="162"/>
      <c r="BJ3965" s="162">
        <v>1</v>
      </c>
      <c r="BK3965" s="162"/>
      <c r="BL3965" s="162"/>
      <c r="BM3965" s="162"/>
      <c r="BN3965" s="162"/>
      <c r="BO3965" s="162"/>
      <c r="BP3965" s="162"/>
    </row>
    <row r="3966" spans="1:68" x14ac:dyDescent="0.2">
      <c r="A3966" s="57">
        <v>722</v>
      </c>
      <c r="B3966" s="162" t="s">
        <v>3655</v>
      </c>
      <c r="C3966" s="195">
        <v>44781.443726851852</v>
      </c>
      <c r="D3966" s="55">
        <v>280</v>
      </c>
      <c r="I3966" s="46" t="s">
        <v>839</v>
      </c>
      <c r="J3966" s="162">
        <v>2</v>
      </c>
      <c r="K3966" s="162">
        <v>2</v>
      </c>
      <c r="L3966" s="162"/>
      <c r="M3966" s="162"/>
      <c r="N3966" s="162"/>
      <c r="O3966" s="162">
        <v>2</v>
      </c>
      <c r="P3966" s="162"/>
      <c r="Q3966" s="162"/>
      <c r="R3966" s="162"/>
      <c r="S3966" s="162">
        <v>1</v>
      </c>
      <c r="T3966" s="162"/>
      <c r="U3966" s="162"/>
      <c r="V3966" s="162"/>
      <c r="W3966" s="162">
        <v>1</v>
      </c>
      <c r="X3966" s="162"/>
      <c r="Y3966" s="162"/>
      <c r="Z3966" s="162"/>
      <c r="AA3966" s="162">
        <v>3</v>
      </c>
      <c r="AB3966" s="162">
        <v>1</v>
      </c>
      <c r="AC3966" s="162">
        <v>3</v>
      </c>
      <c r="AD3966" s="162">
        <v>3</v>
      </c>
      <c r="AE3966" s="162">
        <v>3</v>
      </c>
      <c r="AF3966" s="162">
        <v>3</v>
      </c>
      <c r="AG3966" s="162">
        <v>3</v>
      </c>
      <c r="AH3966" s="162">
        <v>3</v>
      </c>
      <c r="AI3966" s="162">
        <v>1</v>
      </c>
      <c r="AJ3966" s="162">
        <v>1</v>
      </c>
      <c r="AK3966" s="162">
        <v>3</v>
      </c>
      <c r="AL3966" s="162">
        <v>2</v>
      </c>
      <c r="AM3966" s="162">
        <v>1</v>
      </c>
      <c r="AN3966" s="162">
        <v>3</v>
      </c>
      <c r="AO3966" s="162">
        <v>1</v>
      </c>
      <c r="AP3966" s="162">
        <v>1</v>
      </c>
      <c r="AQ3966" s="162">
        <v>2</v>
      </c>
      <c r="AR3966" s="162">
        <v>2</v>
      </c>
      <c r="AS3966" s="162">
        <v>2</v>
      </c>
      <c r="AT3966" s="162">
        <v>2</v>
      </c>
      <c r="AU3966" s="162">
        <v>2</v>
      </c>
      <c r="AV3966" s="162"/>
      <c r="AW3966" s="162"/>
      <c r="AX3966" s="162"/>
      <c r="AY3966" s="162"/>
      <c r="AZ3966" s="162">
        <v>2</v>
      </c>
      <c r="BA3966" s="162">
        <v>1</v>
      </c>
      <c r="BB3966" s="162">
        <v>1</v>
      </c>
      <c r="BC3966" s="162">
        <v>1</v>
      </c>
      <c r="BD3966" s="162">
        <v>1</v>
      </c>
      <c r="BE3966" s="162">
        <v>2</v>
      </c>
      <c r="BF3966" s="162"/>
      <c r="BG3966" s="162"/>
      <c r="BH3966" s="162"/>
      <c r="BI3966" s="162"/>
      <c r="BJ3966" s="162">
        <v>2</v>
      </c>
      <c r="BK3966" s="162"/>
      <c r="BL3966" s="162"/>
      <c r="BM3966" s="162"/>
      <c r="BN3966" s="162"/>
      <c r="BO3966" s="162"/>
      <c r="BP3966" s="162"/>
    </row>
    <row r="3967" spans="1:68" x14ac:dyDescent="0.2">
      <c r="A3967" s="57">
        <v>722</v>
      </c>
      <c r="B3967" s="162" t="s">
        <v>3655</v>
      </c>
      <c r="C3967" s="195">
        <v>44781.383240740739</v>
      </c>
      <c r="D3967" s="55">
        <v>280</v>
      </c>
      <c r="I3967" s="46" t="s">
        <v>839</v>
      </c>
      <c r="J3967" s="162">
        <v>1</v>
      </c>
      <c r="K3967" s="162">
        <v>1</v>
      </c>
      <c r="L3967" s="162"/>
      <c r="M3967" s="162"/>
      <c r="N3967" s="162"/>
      <c r="O3967" s="162">
        <v>2</v>
      </c>
      <c r="P3967" s="162"/>
      <c r="Q3967" s="162"/>
      <c r="R3967" s="162"/>
      <c r="S3967" s="162">
        <v>1</v>
      </c>
      <c r="T3967" s="162"/>
      <c r="U3967" s="162"/>
      <c r="V3967" s="162"/>
      <c r="W3967" s="162">
        <v>1</v>
      </c>
      <c r="X3967" s="162"/>
      <c r="Y3967" s="162"/>
      <c r="Z3967" s="162"/>
      <c r="AA3967" s="162">
        <v>2</v>
      </c>
      <c r="AB3967" s="162"/>
      <c r="AC3967" s="162"/>
      <c r="AD3967" s="162"/>
      <c r="AE3967" s="162"/>
      <c r="AF3967" s="162"/>
      <c r="AG3967" s="162">
        <v>2</v>
      </c>
      <c r="AH3967" s="162"/>
      <c r="AI3967" s="162"/>
      <c r="AJ3967" s="162"/>
      <c r="AK3967" s="162"/>
      <c r="AL3967" s="162"/>
      <c r="AM3967" s="162">
        <v>4</v>
      </c>
      <c r="AN3967" s="162"/>
      <c r="AO3967" s="162"/>
      <c r="AP3967" s="162"/>
      <c r="AQ3967" s="162"/>
      <c r="AR3967" s="162"/>
      <c r="AS3967" s="162">
        <v>1</v>
      </c>
      <c r="AT3967" s="162">
        <v>2</v>
      </c>
      <c r="AU3967" s="162">
        <v>3</v>
      </c>
      <c r="AV3967" s="162">
        <v>1</v>
      </c>
      <c r="AW3967" s="162">
        <v>2</v>
      </c>
      <c r="AX3967" s="162">
        <v>2</v>
      </c>
      <c r="AY3967" s="162">
        <v>2</v>
      </c>
      <c r="AZ3967" s="162">
        <v>1</v>
      </c>
      <c r="BA3967" s="162">
        <v>2</v>
      </c>
      <c r="BB3967" s="162">
        <v>2</v>
      </c>
      <c r="BC3967" s="162">
        <v>2</v>
      </c>
      <c r="BD3967" s="162">
        <v>2</v>
      </c>
      <c r="BE3967" s="162">
        <v>2</v>
      </c>
      <c r="BF3967" s="162"/>
      <c r="BG3967" s="162"/>
      <c r="BH3967" s="162"/>
      <c r="BI3967" s="162"/>
      <c r="BJ3967" s="162">
        <v>1</v>
      </c>
      <c r="BK3967" s="162"/>
      <c r="BL3967" s="162"/>
      <c r="BM3967" s="162"/>
      <c r="BN3967" s="162"/>
      <c r="BO3967" s="162"/>
      <c r="BP3967" s="162"/>
    </row>
    <row r="3968" spans="1:68" x14ac:dyDescent="0.2">
      <c r="A3968" s="57">
        <v>722</v>
      </c>
      <c r="B3968" s="162" t="s">
        <v>3655</v>
      </c>
      <c r="C3968" s="195">
        <v>44781.380069444444</v>
      </c>
      <c r="D3968" s="55">
        <v>280</v>
      </c>
      <c r="I3968" s="46" t="s">
        <v>839</v>
      </c>
      <c r="J3968" s="162">
        <v>2</v>
      </c>
      <c r="K3968" s="162">
        <v>2</v>
      </c>
      <c r="L3968" s="162"/>
      <c r="M3968" s="162"/>
      <c r="N3968" s="162"/>
      <c r="O3968" s="162">
        <v>2</v>
      </c>
      <c r="P3968" s="162"/>
      <c r="Q3968" s="162"/>
      <c r="R3968" s="162"/>
      <c r="S3968" s="162">
        <v>1</v>
      </c>
      <c r="T3968" s="162"/>
      <c r="U3968" s="162"/>
      <c r="V3968" s="162"/>
      <c r="W3968" s="162">
        <v>1</v>
      </c>
      <c r="X3968" s="162"/>
      <c r="Y3968" s="162"/>
      <c r="Z3968" s="162"/>
      <c r="AA3968" s="162">
        <v>3</v>
      </c>
      <c r="AB3968" s="162">
        <v>1</v>
      </c>
      <c r="AC3968" s="162">
        <v>3</v>
      </c>
      <c r="AD3968" s="162">
        <v>3</v>
      </c>
      <c r="AE3968" s="162">
        <v>1</v>
      </c>
      <c r="AF3968" s="162">
        <v>1</v>
      </c>
      <c r="AG3968" s="162">
        <v>3</v>
      </c>
      <c r="AH3968" s="162">
        <v>3</v>
      </c>
      <c r="AI3968" s="162">
        <v>1</v>
      </c>
      <c r="AJ3968" s="162">
        <v>1</v>
      </c>
      <c r="AK3968" s="162">
        <v>3</v>
      </c>
      <c r="AL3968" s="162">
        <v>3</v>
      </c>
      <c r="AM3968" s="162">
        <v>4</v>
      </c>
      <c r="AN3968" s="162"/>
      <c r="AO3968" s="162"/>
      <c r="AP3968" s="162"/>
      <c r="AQ3968" s="162"/>
      <c r="AR3968" s="162"/>
      <c r="AS3968" s="162">
        <v>4</v>
      </c>
      <c r="AT3968" s="162">
        <v>2</v>
      </c>
      <c r="AU3968" s="162">
        <v>2</v>
      </c>
      <c r="AV3968" s="162"/>
      <c r="AW3968" s="162"/>
      <c r="AX3968" s="162"/>
      <c r="AY3968" s="162"/>
      <c r="AZ3968" s="162">
        <v>2</v>
      </c>
      <c r="BA3968" s="162">
        <v>1</v>
      </c>
      <c r="BB3968" s="162">
        <v>1</v>
      </c>
      <c r="BC3968" s="162">
        <v>1</v>
      </c>
      <c r="BD3968" s="162">
        <v>1</v>
      </c>
      <c r="BE3968" s="162">
        <v>2</v>
      </c>
      <c r="BF3968" s="162"/>
      <c r="BG3968" s="162"/>
      <c r="BH3968" s="162"/>
      <c r="BI3968" s="162"/>
      <c r="BJ3968" s="162">
        <v>2</v>
      </c>
      <c r="BK3968" s="162"/>
      <c r="BL3968" s="162"/>
      <c r="BM3968" s="162"/>
      <c r="BN3968" s="162"/>
      <c r="BO3968" s="162"/>
      <c r="BP3968" s="162"/>
    </row>
    <row r="3969" spans="1:73" x14ac:dyDescent="0.2">
      <c r="A3969" s="57">
        <v>922</v>
      </c>
      <c r="B3969" s="162" t="s">
        <v>3655</v>
      </c>
      <c r="C3969" s="195">
        <v>44838.571817129632</v>
      </c>
      <c r="D3969" s="55">
        <v>260</v>
      </c>
      <c r="I3969" s="46" t="s">
        <v>839</v>
      </c>
      <c r="J3969" s="162">
        <v>1</v>
      </c>
      <c r="K3969" s="162">
        <v>1</v>
      </c>
      <c r="L3969" s="162"/>
      <c r="M3969" s="162"/>
      <c r="N3969" s="162"/>
      <c r="O3969" s="162">
        <v>1</v>
      </c>
      <c r="P3969" s="162"/>
      <c r="Q3969" s="162"/>
      <c r="R3969" s="162"/>
      <c r="S3969" s="162">
        <v>1</v>
      </c>
      <c r="T3969" s="162"/>
      <c r="U3969" s="162"/>
      <c r="V3969" s="162"/>
      <c r="W3969" s="162">
        <v>1</v>
      </c>
      <c r="X3969" s="162"/>
      <c r="Y3969" s="162"/>
      <c r="Z3969" s="162"/>
      <c r="AA3969" s="162">
        <v>1</v>
      </c>
      <c r="AB3969" s="162"/>
      <c r="AC3969" s="162"/>
      <c r="AD3969" s="162"/>
      <c r="AE3969" s="162"/>
      <c r="AF3969" s="162"/>
      <c r="AG3969" s="162">
        <v>1</v>
      </c>
      <c r="AH3969" s="162"/>
      <c r="AI3969" s="162"/>
      <c r="AJ3969" s="162"/>
      <c r="AK3969" s="162"/>
      <c r="AL3969" s="162"/>
      <c r="AM3969" s="162">
        <v>1</v>
      </c>
      <c r="AN3969" s="162">
        <v>1</v>
      </c>
      <c r="AO3969" s="162">
        <v>1</v>
      </c>
      <c r="AP3969" s="162">
        <v>1</v>
      </c>
      <c r="AQ3969" s="162">
        <v>3</v>
      </c>
      <c r="AR3969" s="162">
        <v>3</v>
      </c>
      <c r="AS3969" s="162">
        <v>4</v>
      </c>
      <c r="AT3969" s="162">
        <v>1</v>
      </c>
      <c r="AU3969" s="162">
        <v>1</v>
      </c>
      <c r="AV3969" s="162"/>
      <c r="AW3969" s="162"/>
      <c r="AX3969" s="162"/>
      <c r="AY3969" s="162"/>
      <c r="AZ3969" s="162">
        <v>1</v>
      </c>
      <c r="BA3969" s="162">
        <v>1</v>
      </c>
      <c r="BB3969" s="162">
        <v>1</v>
      </c>
      <c r="BC3969" s="162">
        <v>1</v>
      </c>
      <c r="BD3969" s="162">
        <v>1</v>
      </c>
      <c r="BE3969" s="162">
        <v>1</v>
      </c>
      <c r="BF3969" s="162"/>
      <c r="BG3969" s="162"/>
      <c r="BH3969" s="162"/>
      <c r="BI3969" s="162"/>
      <c r="BJ3969" s="162">
        <v>1</v>
      </c>
      <c r="BK3969" s="162"/>
      <c r="BL3969" s="162"/>
      <c r="BM3969" s="162"/>
      <c r="BN3969" s="162"/>
      <c r="BO3969" s="162"/>
      <c r="BP3969" s="162"/>
      <c r="BQ3969" s="162"/>
      <c r="BR3969" s="162"/>
      <c r="BS3969" s="162"/>
      <c r="BT3969" s="162"/>
      <c r="BU3969" s="162"/>
    </row>
    <row r="3970" spans="1:73" x14ac:dyDescent="0.2">
      <c r="A3970" s="57">
        <v>922</v>
      </c>
      <c r="B3970" s="162" t="s">
        <v>3655</v>
      </c>
      <c r="C3970" s="195">
        <v>44838.343055555553</v>
      </c>
      <c r="D3970" s="55">
        <v>260</v>
      </c>
      <c r="I3970" s="46" t="s">
        <v>839</v>
      </c>
      <c r="J3970" s="162">
        <v>2</v>
      </c>
      <c r="K3970" s="162">
        <v>2</v>
      </c>
      <c r="L3970" s="162"/>
      <c r="M3970" s="162"/>
      <c r="N3970" s="162"/>
      <c r="O3970" s="162">
        <v>3</v>
      </c>
      <c r="P3970" s="162">
        <v>3</v>
      </c>
      <c r="Q3970" s="162">
        <v>2</v>
      </c>
      <c r="R3970" s="162">
        <v>3</v>
      </c>
      <c r="S3970" s="162">
        <v>2</v>
      </c>
      <c r="T3970" s="162"/>
      <c r="U3970" s="162"/>
      <c r="V3970" s="162"/>
      <c r="W3970" s="162">
        <v>3</v>
      </c>
      <c r="X3970" s="162">
        <v>2</v>
      </c>
      <c r="Y3970" s="162">
        <v>2</v>
      </c>
      <c r="Z3970" s="162">
        <v>2</v>
      </c>
      <c r="AA3970" s="162">
        <v>4</v>
      </c>
      <c r="AB3970" s="162">
        <v>2</v>
      </c>
      <c r="AC3970" s="162">
        <v>2</v>
      </c>
      <c r="AD3970" s="162">
        <v>2</v>
      </c>
      <c r="AE3970" s="162">
        <v>2</v>
      </c>
      <c r="AF3970" s="162">
        <v>2</v>
      </c>
      <c r="AG3970" s="162">
        <v>3</v>
      </c>
      <c r="AH3970" s="162">
        <v>1</v>
      </c>
      <c r="AI3970" s="162">
        <v>1</v>
      </c>
      <c r="AJ3970" s="162">
        <v>2</v>
      </c>
      <c r="AK3970" s="162">
        <v>2</v>
      </c>
      <c r="AL3970" s="162">
        <v>1</v>
      </c>
      <c r="AM3970" s="162">
        <v>3</v>
      </c>
      <c r="AN3970" s="162"/>
      <c r="AO3970" s="162"/>
      <c r="AP3970" s="162"/>
      <c r="AQ3970" s="162"/>
      <c r="AR3970" s="162"/>
      <c r="AS3970" s="162">
        <v>2</v>
      </c>
      <c r="AT3970" s="162">
        <v>3</v>
      </c>
      <c r="AU3970" s="162">
        <v>3</v>
      </c>
      <c r="AV3970" s="162">
        <v>2</v>
      </c>
      <c r="AW3970" s="162">
        <v>2</v>
      </c>
      <c r="AX3970" s="162">
        <v>2</v>
      </c>
      <c r="AY3970" s="162">
        <v>2</v>
      </c>
      <c r="AZ3970" s="162">
        <v>3</v>
      </c>
      <c r="BA3970" s="162">
        <v>2</v>
      </c>
      <c r="BB3970" s="162">
        <v>2</v>
      </c>
      <c r="BC3970" s="162">
        <v>1</v>
      </c>
      <c r="BD3970" s="162">
        <v>1</v>
      </c>
      <c r="BE3970" s="162">
        <v>3</v>
      </c>
      <c r="BF3970" s="162">
        <v>2</v>
      </c>
      <c r="BG3970" s="162">
        <v>2</v>
      </c>
      <c r="BH3970" s="162">
        <v>3</v>
      </c>
      <c r="BI3970" s="162">
        <v>2</v>
      </c>
      <c r="BJ3970" s="162">
        <v>3</v>
      </c>
      <c r="BK3970" s="162">
        <v>1</v>
      </c>
      <c r="BL3970" s="162">
        <v>1</v>
      </c>
      <c r="BM3970" s="162">
        <v>1</v>
      </c>
      <c r="BN3970" s="162">
        <v>2</v>
      </c>
      <c r="BO3970" s="162"/>
      <c r="BP3970" s="162"/>
      <c r="BQ3970" s="162"/>
      <c r="BR3970" s="162"/>
      <c r="BS3970" s="162"/>
      <c r="BT3970" s="162"/>
      <c r="BU3970" s="162"/>
    </row>
    <row r="3971" spans="1:73" x14ac:dyDescent="0.2">
      <c r="A3971" s="57">
        <v>922</v>
      </c>
      <c r="B3971" s="162" t="s">
        <v>3655</v>
      </c>
      <c r="C3971" s="195">
        <v>44837.710069444445</v>
      </c>
      <c r="D3971" s="55">
        <v>260</v>
      </c>
      <c r="I3971" s="46" t="s">
        <v>839</v>
      </c>
      <c r="J3971" s="162">
        <v>1</v>
      </c>
      <c r="K3971" s="162">
        <v>1</v>
      </c>
      <c r="L3971" s="162"/>
      <c r="M3971" s="162"/>
      <c r="N3971" s="162"/>
      <c r="O3971" s="162">
        <v>1</v>
      </c>
      <c r="P3971" s="162"/>
      <c r="Q3971" s="162"/>
      <c r="R3971" s="162"/>
      <c r="S3971" s="162">
        <v>1</v>
      </c>
      <c r="T3971" s="162"/>
      <c r="U3971" s="162"/>
      <c r="V3971" s="162"/>
      <c r="W3971" s="162">
        <v>1</v>
      </c>
      <c r="X3971" s="162"/>
      <c r="Y3971" s="162"/>
      <c r="Z3971" s="162"/>
      <c r="AA3971" s="162">
        <v>1</v>
      </c>
      <c r="AB3971" s="162"/>
      <c r="AC3971" s="162"/>
      <c r="AD3971" s="162"/>
      <c r="AE3971" s="162"/>
      <c r="AF3971" s="162"/>
      <c r="AG3971" s="162">
        <v>1</v>
      </c>
      <c r="AH3971" s="162"/>
      <c r="AI3971" s="162"/>
      <c r="AJ3971" s="162"/>
      <c r="AK3971" s="162"/>
      <c r="AL3971" s="162"/>
      <c r="AM3971" s="162">
        <v>1</v>
      </c>
      <c r="AN3971" s="162">
        <v>1</v>
      </c>
      <c r="AO3971" s="162">
        <v>1</v>
      </c>
      <c r="AP3971" s="162">
        <v>1</v>
      </c>
      <c r="AQ3971" s="162">
        <v>2</v>
      </c>
      <c r="AR3971" s="162">
        <v>1</v>
      </c>
      <c r="AS3971" s="162">
        <v>1</v>
      </c>
      <c r="AT3971" s="162">
        <v>1</v>
      </c>
      <c r="AU3971" s="162">
        <v>1</v>
      </c>
      <c r="AV3971" s="162"/>
      <c r="AW3971" s="162"/>
      <c r="AX3971" s="162"/>
      <c r="AY3971" s="162"/>
      <c r="AZ3971" s="162">
        <v>1</v>
      </c>
      <c r="BA3971" s="162">
        <v>1</v>
      </c>
      <c r="BB3971" s="162">
        <v>1</v>
      </c>
      <c r="BC3971" s="162">
        <v>1</v>
      </c>
      <c r="BD3971" s="162">
        <v>1</v>
      </c>
      <c r="BE3971" s="162">
        <v>1</v>
      </c>
      <c r="BF3971" s="162"/>
      <c r="BG3971" s="162"/>
      <c r="BH3971" s="162"/>
      <c r="BI3971" s="162"/>
      <c r="BJ3971" s="162">
        <v>1</v>
      </c>
      <c r="BK3971" s="162"/>
      <c r="BL3971" s="162"/>
      <c r="BM3971" s="162"/>
      <c r="BN3971" s="162"/>
      <c r="BO3971" s="162"/>
      <c r="BP3971" s="162"/>
      <c r="BQ3971" s="162"/>
      <c r="BR3971" s="162"/>
      <c r="BS3971" s="162"/>
      <c r="BT3971" s="162"/>
      <c r="BU3971" s="162"/>
    </row>
    <row r="3972" spans="1:73" x14ac:dyDescent="0.2">
      <c r="A3972" s="57">
        <v>922</v>
      </c>
      <c r="B3972" s="162" t="s">
        <v>3655</v>
      </c>
      <c r="C3972" s="195">
        <v>44837.707997685182</v>
      </c>
      <c r="D3972" s="55">
        <v>260</v>
      </c>
      <c r="I3972" s="46" t="s">
        <v>839</v>
      </c>
      <c r="J3972" s="162">
        <v>1</v>
      </c>
      <c r="K3972" s="162">
        <v>1</v>
      </c>
      <c r="L3972" s="162"/>
      <c r="M3972" s="162"/>
      <c r="N3972" s="162"/>
      <c r="O3972" s="162">
        <v>1</v>
      </c>
      <c r="P3972" s="162"/>
      <c r="Q3972" s="162"/>
      <c r="R3972" s="162"/>
      <c r="S3972" s="162">
        <v>1</v>
      </c>
      <c r="T3972" s="162"/>
      <c r="U3972" s="162"/>
      <c r="V3972" s="162"/>
      <c r="W3972" s="162">
        <v>1</v>
      </c>
      <c r="X3972" s="162"/>
      <c r="Y3972" s="162"/>
      <c r="Z3972" s="162"/>
      <c r="AA3972" s="162">
        <v>2</v>
      </c>
      <c r="AB3972" s="162"/>
      <c r="AC3972" s="162"/>
      <c r="AD3972" s="162"/>
      <c r="AE3972" s="162"/>
      <c r="AF3972" s="162"/>
      <c r="AG3972" s="162">
        <v>1</v>
      </c>
      <c r="AH3972" s="162"/>
      <c r="AI3972" s="162"/>
      <c r="AJ3972" s="162"/>
      <c r="AK3972" s="162"/>
      <c r="AL3972" s="162"/>
      <c r="AM3972" s="162">
        <v>2</v>
      </c>
      <c r="AN3972" s="162">
        <v>3</v>
      </c>
      <c r="AO3972" s="162">
        <v>3</v>
      </c>
      <c r="AP3972" s="162">
        <v>3</v>
      </c>
      <c r="AQ3972" s="162">
        <v>3</v>
      </c>
      <c r="AR3972" s="162">
        <v>3</v>
      </c>
      <c r="AS3972" s="162">
        <v>4</v>
      </c>
      <c r="AT3972" s="162">
        <v>1</v>
      </c>
      <c r="AU3972" s="162">
        <v>1</v>
      </c>
      <c r="AV3972" s="162"/>
      <c r="AW3972" s="162"/>
      <c r="AX3972" s="162"/>
      <c r="AY3972" s="162"/>
      <c r="AZ3972" s="162">
        <v>1</v>
      </c>
      <c r="BA3972" s="162">
        <v>3</v>
      </c>
      <c r="BB3972" s="162">
        <v>3</v>
      </c>
      <c r="BC3972" s="162">
        <v>3</v>
      </c>
      <c r="BD3972" s="162">
        <v>3</v>
      </c>
      <c r="BE3972" s="162">
        <v>1</v>
      </c>
      <c r="BF3972" s="162"/>
      <c r="BG3972" s="162"/>
      <c r="BH3972" s="162"/>
      <c r="BI3972" s="162"/>
      <c r="BJ3972" s="162">
        <v>1</v>
      </c>
      <c r="BK3972" s="162"/>
      <c r="BL3972" s="162"/>
      <c r="BM3972" s="162"/>
      <c r="BN3972" s="162"/>
      <c r="BO3972" s="162"/>
      <c r="BP3972" s="162"/>
      <c r="BQ3972" s="162"/>
      <c r="BR3972" s="162"/>
      <c r="BS3972" s="162"/>
      <c r="BT3972" s="162"/>
      <c r="BU3972" s="162"/>
    </row>
    <row r="3973" spans="1:73" x14ac:dyDescent="0.2">
      <c r="A3973" s="57">
        <v>922</v>
      </c>
      <c r="B3973" s="162" t="s">
        <v>3655</v>
      </c>
      <c r="C3973" s="195">
        <v>44837.683969907404</v>
      </c>
      <c r="D3973" s="55">
        <v>260</v>
      </c>
      <c r="I3973" s="46" t="s">
        <v>839</v>
      </c>
      <c r="J3973" s="162">
        <v>1</v>
      </c>
      <c r="K3973" s="162">
        <v>1</v>
      </c>
      <c r="L3973" s="162"/>
      <c r="M3973" s="162"/>
      <c r="N3973" s="162"/>
      <c r="O3973" s="162">
        <v>4</v>
      </c>
      <c r="P3973" s="162">
        <v>1</v>
      </c>
      <c r="Q3973" s="162">
        <v>1</v>
      </c>
      <c r="R3973" s="162">
        <v>2</v>
      </c>
      <c r="S3973" s="162">
        <v>1</v>
      </c>
      <c r="T3973" s="162"/>
      <c r="U3973" s="162"/>
      <c r="V3973" s="162"/>
      <c r="W3973" s="162">
        <v>4</v>
      </c>
      <c r="X3973" s="162">
        <v>1</v>
      </c>
      <c r="Y3973" s="162">
        <v>2</v>
      </c>
      <c r="Z3973" s="162">
        <v>2</v>
      </c>
      <c r="AA3973" s="162">
        <v>4</v>
      </c>
      <c r="AB3973" s="162">
        <v>1</v>
      </c>
      <c r="AC3973" s="162">
        <v>3</v>
      </c>
      <c r="AD3973" s="162">
        <v>3</v>
      </c>
      <c r="AE3973" s="162">
        <v>3</v>
      </c>
      <c r="AF3973" s="162">
        <v>3</v>
      </c>
      <c r="AG3973" s="162">
        <v>4</v>
      </c>
      <c r="AH3973" s="162">
        <v>3</v>
      </c>
      <c r="AI3973" s="162">
        <v>1</v>
      </c>
      <c r="AJ3973" s="162">
        <v>3</v>
      </c>
      <c r="AK3973" s="162">
        <v>1</v>
      </c>
      <c r="AL3973" s="162">
        <v>2</v>
      </c>
      <c r="AM3973" s="162">
        <v>1</v>
      </c>
      <c r="AN3973" s="162"/>
      <c r="AO3973" s="162"/>
      <c r="AP3973" s="162"/>
      <c r="AQ3973" s="162"/>
      <c r="AR3973" s="162"/>
      <c r="AS3973" s="162">
        <v>5</v>
      </c>
      <c r="AT3973" s="162">
        <v>5</v>
      </c>
      <c r="AU3973" s="162">
        <v>5</v>
      </c>
      <c r="AV3973" s="162"/>
      <c r="AW3973" s="162"/>
      <c r="AX3973" s="162"/>
      <c r="AY3973" s="162"/>
      <c r="AZ3973" s="162">
        <v>5</v>
      </c>
      <c r="BA3973" s="162">
        <v>4</v>
      </c>
      <c r="BB3973" s="162">
        <v>4</v>
      </c>
      <c r="BC3973" s="162">
        <v>4</v>
      </c>
      <c r="BD3973" s="162">
        <v>4</v>
      </c>
      <c r="BE3973" s="162">
        <v>5</v>
      </c>
      <c r="BF3973" s="162"/>
      <c r="BG3973" s="162"/>
      <c r="BH3973" s="162"/>
      <c r="BI3973" s="162"/>
      <c r="BJ3973" s="162">
        <v>5</v>
      </c>
      <c r="BK3973" s="162"/>
      <c r="BL3973" s="162"/>
      <c r="BM3973" s="162"/>
      <c r="BN3973" s="162"/>
      <c r="BO3973" s="162"/>
      <c r="BP3973" s="162"/>
      <c r="BQ3973" s="162"/>
      <c r="BR3973" s="162"/>
      <c r="BS3973" s="162"/>
      <c r="BT3973" s="162"/>
      <c r="BU3973" s="162"/>
    </row>
    <row r="3974" spans="1:73" x14ac:dyDescent="0.2">
      <c r="A3974" s="57">
        <v>922</v>
      </c>
      <c r="B3974" s="162" t="s">
        <v>3655</v>
      </c>
      <c r="C3974" s="195">
        <v>44837.655775462961</v>
      </c>
      <c r="D3974" s="55">
        <v>260</v>
      </c>
      <c r="I3974" s="46" t="s">
        <v>839</v>
      </c>
      <c r="J3974" s="162">
        <v>1</v>
      </c>
      <c r="K3974" s="162">
        <v>1</v>
      </c>
      <c r="L3974" s="162"/>
      <c r="M3974" s="162"/>
      <c r="N3974" s="162"/>
      <c r="O3974" s="162">
        <v>1</v>
      </c>
      <c r="P3974" s="162"/>
      <c r="Q3974" s="162"/>
      <c r="R3974" s="162"/>
      <c r="S3974" s="162">
        <v>1</v>
      </c>
      <c r="T3974" s="162"/>
      <c r="U3974" s="162"/>
      <c r="V3974" s="162"/>
      <c r="W3974" s="162">
        <v>1</v>
      </c>
      <c r="X3974" s="162"/>
      <c r="Y3974" s="162"/>
      <c r="Z3974" s="162"/>
      <c r="AA3974" s="162">
        <v>1</v>
      </c>
      <c r="AB3974" s="162"/>
      <c r="AC3974" s="162"/>
      <c r="AD3974" s="162"/>
      <c r="AE3974" s="162"/>
      <c r="AF3974" s="162"/>
      <c r="AG3974" s="162">
        <v>1</v>
      </c>
      <c r="AH3974" s="162"/>
      <c r="AI3974" s="162"/>
      <c r="AJ3974" s="162"/>
      <c r="AK3974" s="162"/>
      <c r="AL3974" s="162"/>
      <c r="AM3974" s="162">
        <v>4</v>
      </c>
      <c r="AN3974" s="162"/>
      <c r="AO3974" s="162"/>
      <c r="AP3974" s="162"/>
      <c r="AQ3974" s="162"/>
      <c r="AR3974" s="162"/>
      <c r="AS3974" s="162">
        <v>4</v>
      </c>
      <c r="AT3974" s="162">
        <v>1</v>
      </c>
      <c r="AU3974" s="162">
        <v>1</v>
      </c>
      <c r="AV3974" s="162"/>
      <c r="AW3974" s="162"/>
      <c r="AX3974" s="162"/>
      <c r="AY3974" s="162"/>
      <c r="AZ3974" s="162">
        <v>1</v>
      </c>
      <c r="BA3974" s="162">
        <v>1</v>
      </c>
      <c r="BB3974" s="162">
        <v>1</v>
      </c>
      <c r="BC3974" s="162">
        <v>1</v>
      </c>
      <c r="BD3974" s="162">
        <v>1</v>
      </c>
      <c r="BE3974" s="162">
        <v>1</v>
      </c>
      <c r="BF3974" s="162"/>
      <c r="BG3974" s="162"/>
      <c r="BH3974" s="162"/>
      <c r="BI3974" s="162"/>
      <c r="BJ3974" s="162">
        <v>1</v>
      </c>
      <c r="BK3974" s="162"/>
      <c r="BL3974" s="162"/>
      <c r="BM3974" s="162"/>
      <c r="BN3974" s="162"/>
      <c r="BO3974" s="162"/>
      <c r="BP3974" s="162"/>
      <c r="BQ3974" s="162"/>
      <c r="BR3974" s="162"/>
      <c r="BS3974" s="162"/>
      <c r="BT3974" s="162"/>
      <c r="BU3974" s="162"/>
    </row>
    <row r="3975" spans="1:73" x14ac:dyDescent="0.2">
      <c r="A3975" s="57">
        <v>922</v>
      </c>
      <c r="B3975" s="162" t="s">
        <v>3655</v>
      </c>
      <c r="C3975" s="195">
        <v>44837.650011574071</v>
      </c>
      <c r="D3975" s="55">
        <v>260</v>
      </c>
      <c r="I3975" s="46" t="s">
        <v>839</v>
      </c>
      <c r="J3975" s="162">
        <v>1</v>
      </c>
      <c r="K3975" s="162">
        <v>1</v>
      </c>
      <c r="L3975" s="162"/>
      <c r="M3975" s="162"/>
      <c r="N3975" s="162"/>
      <c r="O3975" s="162">
        <v>1</v>
      </c>
      <c r="P3975" s="162"/>
      <c r="Q3975" s="162"/>
      <c r="R3975" s="162"/>
      <c r="S3975" s="162">
        <v>1</v>
      </c>
      <c r="T3975" s="162"/>
      <c r="U3975" s="162"/>
      <c r="V3975" s="162"/>
      <c r="W3975" s="162">
        <v>1</v>
      </c>
      <c r="X3975" s="162"/>
      <c r="Y3975" s="162"/>
      <c r="Z3975" s="162"/>
      <c r="AA3975" s="162">
        <v>1</v>
      </c>
      <c r="AB3975" s="162"/>
      <c r="AC3975" s="162"/>
      <c r="AD3975" s="162"/>
      <c r="AE3975" s="162"/>
      <c r="AF3975" s="162"/>
      <c r="AG3975" s="162">
        <v>1</v>
      </c>
      <c r="AH3975" s="162"/>
      <c r="AI3975" s="162"/>
      <c r="AJ3975" s="162"/>
      <c r="AK3975" s="162"/>
      <c r="AL3975" s="162"/>
      <c r="AM3975" s="162">
        <v>1</v>
      </c>
      <c r="AN3975" s="162">
        <v>1</v>
      </c>
      <c r="AO3975" s="162">
        <v>1</v>
      </c>
      <c r="AP3975" s="162">
        <v>1</v>
      </c>
      <c r="AQ3975" s="162">
        <v>2</v>
      </c>
      <c r="AR3975" s="162">
        <v>2</v>
      </c>
      <c r="AS3975" s="162">
        <v>4</v>
      </c>
      <c r="AT3975" s="162">
        <v>1</v>
      </c>
      <c r="AU3975" s="162">
        <v>1</v>
      </c>
      <c r="AV3975" s="162"/>
      <c r="AW3975" s="162"/>
      <c r="AX3975" s="162"/>
      <c r="AY3975" s="162"/>
      <c r="AZ3975" s="162">
        <v>1</v>
      </c>
      <c r="BA3975" s="162">
        <v>1</v>
      </c>
      <c r="BB3975" s="162">
        <v>1</v>
      </c>
      <c r="BC3975" s="162">
        <v>1</v>
      </c>
      <c r="BD3975" s="162">
        <v>1</v>
      </c>
      <c r="BE3975" s="162">
        <v>1</v>
      </c>
      <c r="BF3975" s="162"/>
      <c r="BG3975" s="162"/>
      <c r="BH3975" s="162"/>
      <c r="BI3975" s="162"/>
      <c r="BJ3975" s="162">
        <v>1</v>
      </c>
      <c r="BK3975" s="162"/>
      <c r="BL3975" s="162"/>
      <c r="BM3975" s="162"/>
      <c r="BN3975" s="162"/>
      <c r="BO3975" s="162"/>
      <c r="BP3975" s="162"/>
      <c r="BQ3975" s="162"/>
      <c r="BR3975" s="162"/>
      <c r="BS3975" s="162"/>
      <c r="BT3975" s="162"/>
      <c r="BU3975" s="162"/>
    </row>
    <row r="3976" spans="1:73" x14ac:dyDescent="0.2">
      <c r="A3976" s="57">
        <v>922</v>
      </c>
      <c r="B3976" s="162" t="s">
        <v>3655</v>
      </c>
      <c r="C3976" s="195">
        <v>44837.618831018517</v>
      </c>
      <c r="D3976" s="55">
        <v>260</v>
      </c>
      <c r="I3976" s="46" t="s">
        <v>839</v>
      </c>
      <c r="J3976" s="162">
        <v>2</v>
      </c>
      <c r="K3976" s="162">
        <v>2</v>
      </c>
      <c r="L3976" s="162"/>
      <c r="M3976" s="162"/>
      <c r="N3976" s="162"/>
      <c r="O3976" s="162">
        <v>2</v>
      </c>
      <c r="P3976" s="162"/>
      <c r="Q3976" s="162"/>
      <c r="R3976" s="162"/>
      <c r="S3976" s="162">
        <v>1</v>
      </c>
      <c r="T3976" s="162"/>
      <c r="U3976" s="162"/>
      <c r="V3976" s="162"/>
      <c r="W3976" s="162">
        <v>1</v>
      </c>
      <c r="X3976" s="162"/>
      <c r="Y3976" s="162"/>
      <c r="Z3976" s="162"/>
      <c r="AA3976" s="162">
        <v>1</v>
      </c>
      <c r="AB3976" s="162"/>
      <c r="AC3976" s="162"/>
      <c r="AD3976" s="162"/>
      <c r="AE3976" s="162"/>
      <c r="AF3976" s="162"/>
      <c r="AG3976" s="162">
        <v>1</v>
      </c>
      <c r="AH3976" s="162"/>
      <c r="AI3976" s="162"/>
      <c r="AJ3976" s="162"/>
      <c r="AK3976" s="162"/>
      <c r="AL3976" s="162"/>
      <c r="AM3976" s="162">
        <v>2</v>
      </c>
      <c r="AN3976" s="162">
        <v>3</v>
      </c>
      <c r="AO3976" s="162">
        <v>3</v>
      </c>
      <c r="AP3976" s="162">
        <v>3</v>
      </c>
      <c r="AQ3976" s="162">
        <v>3</v>
      </c>
      <c r="AR3976" s="162">
        <v>3</v>
      </c>
      <c r="AS3976" s="162">
        <v>3</v>
      </c>
      <c r="AT3976" s="162">
        <v>2</v>
      </c>
      <c r="AU3976" s="162">
        <v>1</v>
      </c>
      <c r="AV3976" s="162"/>
      <c r="AW3976" s="162"/>
      <c r="AX3976" s="162"/>
      <c r="AY3976" s="162"/>
      <c r="AZ3976" s="162">
        <v>2</v>
      </c>
      <c r="BA3976" s="162">
        <v>1</v>
      </c>
      <c r="BB3976" s="162">
        <v>1</v>
      </c>
      <c r="BC3976" s="162">
        <v>1</v>
      </c>
      <c r="BD3976" s="162">
        <v>1</v>
      </c>
      <c r="BE3976" s="162">
        <v>1</v>
      </c>
      <c r="BF3976" s="162"/>
      <c r="BG3976" s="162"/>
      <c r="BH3976" s="162"/>
      <c r="BI3976" s="162"/>
      <c r="BJ3976" s="162">
        <v>2</v>
      </c>
      <c r="BK3976" s="162"/>
      <c r="BL3976" s="162"/>
      <c r="BM3976" s="162"/>
      <c r="BN3976" s="162"/>
      <c r="BO3976" s="162"/>
      <c r="BP3976" s="162"/>
      <c r="BQ3976" s="162"/>
      <c r="BR3976" s="162"/>
      <c r="BS3976" s="162"/>
      <c r="BT3976" s="162"/>
      <c r="BU3976" s="162"/>
    </row>
    <row r="3977" spans="1:73" x14ac:dyDescent="0.2">
      <c r="A3977" s="57">
        <v>822</v>
      </c>
      <c r="B3977" s="162" t="s">
        <v>3655</v>
      </c>
      <c r="C3977" s="195">
        <v>44808.435277777775</v>
      </c>
      <c r="D3977" s="55">
        <v>260</v>
      </c>
      <c r="I3977" s="46" t="s">
        <v>839</v>
      </c>
      <c r="J3977" s="162">
        <v>1</v>
      </c>
      <c r="K3977" s="162">
        <v>1</v>
      </c>
      <c r="L3977" s="162"/>
      <c r="M3977" s="162"/>
      <c r="N3977" s="162"/>
      <c r="O3977" s="162">
        <v>1</v>
      </c>
      <c r="P3977" s="162"/>
      <c r="Q3977" s="162"/>
      <c r="R3977" s="162"/>
      <c r="S3977" s="162">
        <v>1</v>
      </c>
      <c r="T3977" s="162"/>
      <c r="U3977" s="162"/>
      <c r="V3977" s="162"/>
      <c r="W3977" s="162">
        <v>1</v>
      </c>
      <c r="X3977" s="162"/>
      <c r="Y3977" s="162"/>
      <c r="Z3977" s="162"/>
      <c r="AA3977" s="162">
        <v>1</v>
      </c>
      <c r="AB3977" s="162"/>
      <c r="AC3977" s="162"/>
      <c r="AD3977" s="162"/>
      <c r="AE3977" s="162"/>
      <c r="AF3977" s="162"/>
      <c r="AG3977" s="162">
        <v>1</v>
      </c>
      <c r="AH3977" s="162"/>
      <c r="AI3977" s="162"/>
      <c r="AJ3977" s="162"/>
      <c r="AK3977" s="162"/>
      <c r="AL3977" s="162"/>
      <c r="AM3977" s="162">
        <v>1</v>
      </c>
      <c r="AN3977" s="162">
        <v>1</v>
      </c>
      <c r="AO3977" s="162">
        <v>1</v>
      </c>
      <c r="AP3977" s="162">
        <v>1</v>
      </c>
      <c r="AQ3977" s="162">
        <v>1</v>
      </c>
      <c r="AR3977" s="162">
        <v>1</v>
      </c>
      <c r="AS3977" s="162">
        <v>1</v>
      </c>
      <c r="AT3977" s="162">
        <v>1</v>
      </c>
      <c r="AU3977" s="162">
        <v>1</v>
      </c>
      <c r="AV3977" s="162"/>
      <c r="AW3977" s="162"/>
      <c r="AX3977" s="162"/>
      <c r="AY3977" s="162"/>
      <c r="AZ3977" s="162">
        <v>1</v>
      </c>
      <c r="BA3977" s="162">
        <v>1</v>
      </c>
      <c r="BB3977" s="162">
        <v>1</v>
      </c>
      <c r="BC3977" s="162">
        <v>1</v>
      </c>
      <c r="BD3977" s="162">
        <v>1</v>
      </c>
      <c r="BE3977" s="162">
        <v>1</v>
      </c>
      <c r="BF3977" s="162"/>
      <c r="BG3977" s="162"/>
      <c r="BH3977" s="162"/>
      <c r="BI3977" s="162"/>
      <c r="BJ3977" s="162">
        <v>1</v>
      </c>
      <c r="BK3977" s="162"/>
      <c r="BL3977" s="162"/>
      <c r="BM3977" s="162"/>
      <c r="BN3977" s="162"/>
      <c r="BO3977" s="162"/>
      <c r="BP3977" s="162"/>
      <c r="BQ3977" s="162"/>
      <c r="BR3977" s="162"/>
      <c r="BS3977" s="162"/>
      <c r="BT3977" s="162"/>
      <c r="BU3977" s="162"/>
    </row>
    <row r="3978" spans="1:73" x14ac:dyDescent="0.2">
      <c r="A3978" s="57">
        <v>822</v>
      </c>
      <c r="B3978" s="162" t="s">
        <v>3655</v>
      </c>
      <c r="C3978" s="195">
        <v>44807.934537037036</v>
      </c>
      <c r="D3978" s="55">
        <v>260</v>
      </c>
      <c r="I3978" s="46" t="s">
        <v>839</v>
      </c>
      <c r="J3978" s="162">
        <v>1</v>
      </c>
      <c r="K3978" s="162">
        <v>1</v>
      </c>
      <c r="L3978" s="162"/>
      <c r="M3978" s="162"/>
      <c r="N3978" s="162"/>
      <c r="O3978" s="162">
        <v>1</v>
      </c>
      <c r="P3978" s="162"/>
      <c r="Q3978" s="162"/>
      <c r="R3978" s="162"/>
      <c r="S3978" s="162">
        <v>1</v>
      </c>
      <c r="T3978" s="162"/>
      <c r="U3978" s="162"/>
      <c r="V3978" s="162"/>
      <c r="W3978" s="162">
        <v>1</v>
      </c>
      <c r="X3978" s="162"/>
      <c r="Y3978" s="162"/>
      <c r="Z3978" s="162"/>
      <c r="AA3978" s="162">
        <v>1</v>
      </c>
      <c r="AB3978" s="162"/>
      <c r="AC3978" s="162"/>
      <c r="AD3978" s="162"/>
      <c r="AE3978" s="162"/>
      <c r="AF3978" s="162"/>
      <c r="AG3978" s="162">
        <v>1</v>
      </c>
      <c r="AH3978" s="162"/>
      <c r="AI3978" s="162"/>
      <c r="AJ3978" s="162"/>
      <c r="AK3978" s="162"/>
      <c r="AL3978" s="162"/>
      <c r="AM3978" s="162">
        <v>1</v>
      </c>
      <c r="AN3978" s="162">
        <v>1</v>
      </c>
      <c r="AO3978" s="162">
        <v>1</v>
      </c>
      <c r="AP3978" s="162">
        <v>1</v>
      </c>
      <c r="AQ3978" s="162">
        <v>3</v>
      </c>
      <c r="AR3978" s="162">
        <v>2</v>
      </c>
      <c r="AS3978" s="162">
        <v>2</v>
      </c>
      <c r="AT3978" s="162">
        <v>1</v>
      </c>
      <c r="AU3978" s="162">
        <v>1</v>
      </c>
      <c r="AV3978" s="162"/>
      <c r="AW3978" s="162"/>
      <c r="AX3978" s="162"/>
      <c r="AY3978" s="162"/>
      <c r="AZ3978" s="162">
        <v>1</v>
      </c>
      <c r="BA3978" s="162">
        <v>1</v>
      </c>
      <c r="BB3978" s="162">
        <v>1</v>
      </c>
      <c r="BC3978" s="162">
        <v>1</v>
      </c>
      <c r="BD3978" s="162">
        <v>1</v>
      </c>
      <c r="BE3978" s="162">
        <v>1</v>
      </c>
      <c r="BF3978" s="162"/>
      <c r="BG3978" s="162"/>
      <c r="BH3978" s="162"/>
      <c r="BI3978" s="162"/>
      <c r="BJ3978" s="162">
        <v>1</v>
      </c>
      <c r="BK3978" s="162"/>
      <c r="BL3978" s="162"/>
      <c r="BM3978" s="162"/>
      <c r="BN3978" s="162"/>
      <c r="BO3978" s="162"/>
      <c r="BP3978" s="162"/>
      <c r="BQ3978" s="162"/>
      <c r="BR3978" s="162"/>
      <c r="BS3978" s="162"/>
      <c r="BT3978" s="162"/>
      <c r="BU3978" s="162"/>
    </row>
    <row r="3979" spans="1:73" x14ac:dyDescent="0.2">
      <c r="A3979" s="57">
        <v>822</v>
      </c>
      <c r="B3979" s="162" t="s">
        <v>3655</v>
      </c>
      <c r="C3979" s="195">
        <v>44805.470833333333</v>
      </c>
      <c r="D3979" s="55">
        <v>260</v>
      </c>
      <c r="I3979" s="46" t="s">
        <v>839</v>
      </c>
      <c r="J3979" s="162">
        <v>1</v>
      </c>
      <c r="K3979" s="162">
        <v>1</v>
      </c>
      <c r="L3979" s="162"/>
      <c r="M3979" s="162"/>
      <c r="N3979" s="162"/>
      <c r="O3979" s="162">
        <v>1</v>
      </c>
      <c r="P3979" s="162"/>
      <c r="Q3979" s="162"/>
      <c r="R3979" s="162"/>
      <c r="S3979" s="162">
        <v>1</v>
      </c>
      <c r="T3979" s="162"/>
      <c r="U3979" s="162"/>
      <c r="V3979" s="162"/>
      <c r="W3979" s="162">
        <v>1</v>
      </c>
      <c r="X3979" s="162"/>
      <c r="Y3979" s="162"/>
      <c r="Z3979" s="162"/>
      <c r="AA3979" s="162">
        <v>1</v>
      </c>
      <c r="AB3979" s="162"/>
      <c r="AC3979" s="162"/>
      <c r="AD3979" s="162"/>
      <c r="AE3979" s="162"/>
      <c r="AF3979" s="162"/>
      <c r="AG3979" s="162">
        <v>2</v>
      </c>
      <c r="AH3979" s="162"/>
      <c r="AI3979" s="162"/>
      <c r="AJ3979" s="162"/>
      <c r="AK3979" s="162"/>
      <c r="AL3979" s="162"/>
      <c r="AM3979" s="162">
        <v>1</v>
      </c>
      <c r="AN3979" s="162">
        <v>1</v>
      </c>
      <c r="AO3979" s="162">
        <v>1</v>
      </c>
      <c r="AP3979" s="162">
        <v>1</v>
      </c>
      <c r="AQ3979" s="162">
        <v>3</v>
      </c>
      <c r="AR3979" s="162">
        <v>1</v>
      </c>
      <c r="AS3979" s="162">
        <v>3</v>
      </c>
      <c r="AT3979" s="162">
        <v>1</v>
      </c>
      <c r="AU3979" s="162">
        <v>1</v>
      </c>
      <c r="AV3979" s="162"/>
      <c r="AW3979" s="162"/>
      <c r="AX3979" s="162"/>
      <c r="AY3979" s="162"/>
      <c r="AZ3979" s="162">
        <v>1</v>
      </c>
      <c r="BA3979" s="162">
        <v>1</v>
      </c>
      <c r="BB3979" s="162">
        <v>1</v>
      </c>
      <c r="BC3979" s="162">
        <v>1</v>
      </c>
      <c r="BD3979" s="162">
        <v>1</v>
      </c>
      <c r="BE3979" s="162">
        <v>1</v>
      </c>
      <c r="BF3979" s="162"/>
      <c r="BG3979" s="162"/>
      <c r="BH3979" s="162"/>
      <c r="BI3979" s="162"/>
      <c r="BJ3979" s="162">
        <v>1</v>
      </c>
      <c r="BK3979" s="162"/>
      <c r="BL3979" s="162"/>
      <c r="BM3979" s="162"/>
      <c r="BN3979" s="162"/>
      <c r="BO3979" s="162"/>
      <c r="BP3979" s="162"/>
      <c r="BQ3979" s="162"/>
      <c r="BR3979" s="162"/>
      <c r="BS3979" s="162"/>
      <c r="BT3979" s="162"/>
      <c r="BU3979" s="162"/>
    </row>
    <row r="3980" spans="1:73" x14ac:dyDescent="0.2">
      <c r="A3980" s="57">
        <v>822</v>
      </c>
      <c r="B3980" s="162" t="s">
        <v>3655</v>
      </c>
      <c r="C3980" s="195">
        <v>44805.682789351849</v>
      </c>
      <c r="D3980" s="55">
        <v>260</v>
      </c>
      <c r="I3980" s="46" t="s">
        <v>839</v>
      </c>
      <c r="J3980" s="162">
        <v>1</v>
      </c>
      <c r="K3980" s="162">
        <v>1</v>
      </c>
      <c r="L3980" s="162"/>
      <c r="M3980" s="162"/>
      <c r="N3980" s="162"/>
      <c r="O3980" s="162">
        <v>1</v>
      </c>
      <c r="P3980" s="162"/>
      <c r="Q3980" s="162"/>
      <c r="R3980" s="162"/>
      <c r="S3980" s="162">
        <v>1</v>
      </c>
      <c r="T3980" s="162"/>
      <c r="U3980" s="162"/>
      <c r="V3980" s="162"/>
      <c r="W3980" s="162">
        <v>1</v>
      </c>
      <c r="X3980" s="162"/>
      <c r="Y3980" s="162"/>
      <c r="Z3980" s="162"/>
      <c r="AA3980" s="162">
        <v>1</v>
      </c>
      <c r="AB3980" s="162"/>
      <c r="AC3980" s="162"/>
      <c r="AD3980" s="162"/>
      <c r="AE3980" s="162"/>
      <c r="AF3980" s="162"/>
      <c r="AG3980" s="162">
        <v>1</v>
      </c>
      <c r="AH3980" s="162"/>
      <c r="AI3980" s="162"/>
      <c r="AJ3980" s="162"/>
      <c r="AK3980" s="162"/>
      <c r="AL3980" s="162"/>
      <c r="AM3980" s="162">
        <v>1</v>
      </c>
      <c r="AN3980" s="162">
        <v>1</v>
      </c>
      <c r="AO3980" s="162">
        <v>1</v>
      </c>
      <c r="AP3980" s="162">
        <v>1</v>
      </c>
      <c r="AQ3980" s="162">
        <v>1</v>
      </c>
      <c r="AR3980" s="162">
        <v>1</v>
      </c>
      <c r="AS3980" s="162">
        <v>1</v>
      </c>
      <c r="AT3980" s="162">
        <v>1</v>
      </c>
      <c r="AU3980" s="162">
        <v>1</v>
      </c>
      <c r="AV3980" s="162"/>
      <c r="AW3980" s="162"/>
      <c r="AX3980" s="162"/>
      <c r="AY3980" s="162"/>
      <c r="AZ3980" s="162">
        <v>1</v>
      </c>
      <c r="BA3980" s="162">
        <v>1</v>
      </c>
      <c r="BB3980" s="162">
        <v>1</v>
      </c>
      <c r="BC3980" s="162">
        <v>1</v>
      </c>
      <c r="BD3980" s="162">
        <v>1</v>
      </c>
      <c r="BE3980" s="162">
        <v>1</v>
      </c>
      <c r="BF3980" s="162"/>
      <c r="BG3980" s="162"/>
      <c r="BH3980" s="162"/>
      <c r="BI3980" s="162"/>
      <c r="BJ3980" s="162">
        <v>1</v>
      </c>
      <c r="BK3980" s="162"/>
      <c r="BL3980" s="162"/>
      <c r="BM3980" s="162"/>
      <c r="BN3980" s="162"/>
      <c r="BO3980" s="162"/>
      <c r="BP3980" s="162"/>
      <c r="BQ3980" s="162"/>
      <c r="BR3980" s="162"/>
      <c r="BS3980" s="162"/>
      <c r="BT3980" s="162"/>
      <c r="BU3980" s="162"/>
    </row>
    <row r="3981" spans="1:73" x14ac:dyDescent="0.2">
      <c r="A3981" s="57">
        <v>822</v>
      </c>
      <c r="B3981" s="162" t="s">
        <v>3655</v>
      </c>
      <c r="C3981" s="195">
        <v>44805.601724537039</v>
      </c>
      <c r="D3981" s="55">
        <v>260</v>
      </c>
      <c r="I3981" s="46" t="s">
        <v>839</v>
      </c>
      <c r="J3981" s="162">
        <v>1</v>
      </c>
      <c r="K3981" s="162">
        <v>1</v>
      </c>
      <c r="L3981" s="162"/>
      <c r="M3981" s="162"/>
      <c r="N3981" s="162"/>
      <c r="O3981" s="162">
        <v>1</v>
      </c>
      <c r="P3981" s="162"/>
      <c r="Q3981" s="162"/>
      <c r="R3981" s="162"/>
      <c r="S3981" s="162">
        <v>1</v>
      </c>
      <c r="T3981" s="162"/>
      <c r="U3981" s="162"/>
      <c r="V3981" s="162"/>
      <c r="W3981" s="162">
        <v>2</v>
      </c>
      <c r="X3981" s="162"/>
      <c r="Y3981" s="162"/>
      <c r="Z3981" s="162"/>
      <c r="AA3981" s="162">
        <v>2</v>
      </c>
      <c r="AB3981" s="162"/>
      <c r="AC3981" s="162"/>
      <c r="AD3981" s="162"/>
      <c r="AE3981" s="162"/>
      <c r="AF3981" s="162"/>
      <c r="AG3981" s="162">
        <v>2</v>
      </c>
      <c r="AH3981" s="162"/>
      <c r="AI3981" s="162"/>
      <c r="AJ3981" s="162"/>
      <c r="AK3981" s="162"/>
      <c r="AL3981" s="162"/>
      <c r="AM3981" s="162">
        <v>4</v>
      </c>
      <c r="AN3981" s="162"/>
      <c r="AO3981" s="162"/>
      <c r="AP3981" s="162"/>
      <c r="AQ3981" s="162"/>
      <c r="AR3981" s="162"/>
      <c r="AS3981" s="162">
        <v>5</v>
      </c>
      <c r="AT3981" s="162">
        <v>5</v>
      </c>
      <c r="AU3981" s="162">
        <v>5</v>
      </c>
      <c r="AV3981" s="162"/>
      <c r="AW3981" s="162"/>
      <c r="AX3981" s="162"/>
      <c r="AY3981" s="162"/>
      <c r="AZ3981" s="162">
        <v>5</v>
      </c>
      <c r="BA3981" s="162">
        <v>4</v>
      </c>
      <c r="BB3981" s="162">
        <v>4</v>
      </c>
      <c r="BC3981" s="162">
        <v>4</v>
      </c>
      <c r="BD3981" s="162">
        <v>4</v>
      </c>
      <c r="BE3981" s="162">
        <v>5</v>
      </c>
      <c r="BF3981" s="162"/>
      <c r="BG3981" s="162"/>
      <c r="BH3981" s="162"/>
      <c r="BI3981" s="162"/>
      <c r="BJ3981" s="162">
        <v>5</v>
      </c>
      <c r="BK3981" s="162"/>
      <c r="BL3981" s="162"/>
      <c r="BM3981" s="162"/>
      <c r="BN3981" s="162"/>
      <c r="BO3981" s="162"/>
      <c r="BP3981" s="162"/>
      <c r="BQ3981" s="162"/>
      <c r="BR3981" s="162"/>
      <c r="BS3981" s="162"/>
      <c r="BT3981" s="162"/>
      <c r="BU3981" s="162"/>
    </row>
    <row r="3982" spans="1:73" x14ac:dyDescent="0.2">
      <c r="A3982" s="57">
        <v>722</v>
      </c>
      <c r="B3982" s="162" t="s">
        <v>3655</v>
      </c>
      <c r="C3982" s="195">
        <v>44782.437083333331</v>
      </c>
      <c r="D3982" s="55">
        <v>260</v>
      </c>
      <c r="I3982" s="46" t="s">
        <v>839</v>
      </c>
      <c r="J3982" s="162">
        <v>1</v>
      </c>
      <c r="K3982" s="162">
        <v>1</v>
      </c>
      <c r="L3982" s="162"/>
      <c r="M3982" s="162"/>
      <c r="N3982" s="162"/>
      <c r="O3982" s="162">
        <v>1</v>
      </c>
      <c r="P3982" s="162"/>
      <c r="Q3982" s="162"/>
      <c r="R3982" s="162"/>
      <c r="S3982" s="162">
        <v>1</v>
      </c>
      <c r="T3982" s="162"/>
      <c r="U3982" s="162"/>
      <c r="V3982" s="162"/>
      <c r="W3982" s="162">
        <v>1</v>
      </c>
      <c r="X3982" s="162"/>
      <c r="Y3982" s="162"/>
      <c r="Z3982" s="162"/>
      <c r="AA3982" s="162">
        <v>1</v>
      </c>
      <c r="AB3982" s="162"/>
      <c r="AC3982" s="162"/>
      <c r="AD3982" s="162"/>
      <c r="AE3982" s="162"/>
      <c r="AF3982" s="162"/>
      <c r="AG3982" s="162">
        <v>1</v>
      </c>
      <c r="AH3982" s="162"/>
      <c r="AI3982" s="162"/>
      <c r="AJ3982" s="162"/>
      <c r="AK3982" s="162"/>
      <c r="AL3982" s="162"/>
      <c r="AM3982" s="162">
        <v>1</v>
      </c>
      <c r="AN3982" s="162">
        <v>1</v>
      </c>
      <c r="AO3982" s="162">
        <v>3</v>
      </c>
      <c r="AP3982" s="162">
        <v>2</v>
      </c>
      <c r="AQ3982" s="162">
        <v>2</v>
      </c>
      <c r="AR3982" s="162">
        <v>2</v>
      </c>
      <c r="AS3982" s="162">
        <v>3</v>
      </c>
      <c r="AT3982" s="162">
        <v>2</v>
      </c>
      <c r="AU3982" s="162">
        <v>1</v>
      </c>
      <c r="AV3982" s="162"/>
      <c r="AW3982" s="162"/>
      <c r="AX3982" s="162"/>
      <c r="AY3982" s="162"/>
      <c r="AZ3982" s="162">
        <v>1</v>
      </c>
      <c r="BA3982" s="162">
        <v>1</v>
      </c>
      <c r="BB3982" s="162">
        <v>1</v>
      </c>
      <c r="BC3982" s="162">
        <v>1</v>
      </c>
      <c r="BD3982" s="162">
        <v>1</v>
      </c>
      <c r="BE3982" s="162">
        <v>2</v>
      </c>
      <c r="BF3982" s="162"/>
      <c r="BG3982" s="162"/>
      <c r="BH3982" s="162"/>
      <c r="BI3982" s="162"/>
      <c r="BJ3982" s="162">
        <v>1</v>
      </c>
      <c r="BK3982" s="162"/>
      <c r="BL3982" s="162"/>
      <c r="BM3982" s="162"/>
      <c r="BN3982" s="162"/>
      <c r="BO3982" s="162"/>
      <c r="BP3982" s="162"/>
      <c r="BQ3982" s="162"/>
      <c r="BR3982" s="162"/>
      <c r="BS3982" s="162"/>
      <c r="BT3982" s="162"/>
      <c r="BU3982" s="162"/>
    </row>
    <row r="3983" spans="1:73" x14ac:dyDescent="0.2">
      <c r="A3983" s="57">
        <v>722</v>
      </c>
      <c r="B3983" s="162" t="s">
        <v>3655</v>
      </c>
      <c r="C3983" s="195">
        <v>44782.359409722223</v>
      </c>
      <c r="D3983" s="55">
        <v>260</v>
      </c>
      <c r="I3983" s="46" t="s">
        <v>839</v>
      </c>
      <c r="J3983" s="162">
        <v>1</v>
      </c>
      <c r="K3983" s="162">
        <v>1</v>
      </c>
      <c r="L3983" s="162"/>
      <c r="M3983" s="162"/>
      <c r="N3983" s="162"/>
      <c r="O3983" s="162">
        <v>1</v>
      </c>
      <c r="P3983" s="162"/>
      <c r="Q3983" s="162"/>
      <c r="R3983" s="162"/>
      <c r="S3983" s="162">
        <v>1</v>
      </c>
      <c r="T3983" s="162"/>
      <c r="U3983" s="162"/>
      <c r="V3983" s="162"/>
      <c r="W3983" s="162">
        <v>1</v>
      </c>
      <c r="X3983" s="162"/>
      <c r="Y3983" s="162"/>
      <c r="Z3983" s="162"/>
      <c r="AA3983" s="162">
        <v>1</v>
      </c>
      <c r="AB3983" s="162"/>
      <c r="AC3983" s="162"/>
      <c r="AD3983" s="162"/>
      <c r="AE3983" s="162"/>
      <c r="AF3983" s="162"/>
      <c r="AG3983" s="162">
        <v>1</v>
      </c>
      <c r="AH3983" s="162"/>
      <c r="AI3983" s="162"/>
      <c r="AJ3983" s="162"/>
      <c r="AK3983" s="162"/>
      <c r="AL3983" s="162"/>
      <c r="AM3983" s="162">
        <v>1</v>
      </c>
      <c r="AN3983" s="162">
        <v>3</v>
      </c>
      <c r="AO3983" s="162">
        <v>1</v>
      </c>
      <c r="AP3983" s="162">
        <v>1</v>
      </c>
      <c r="AQ3983" s="162">
        <v>2</v>
      </c>
      <c r="AR3983" s="162">
        <v>2</v>
      </c>
      <c r="AS3983" s="162">
        <v>4</v>
      </c>
      <c r="AT3983" s="162">
        <v>1</v>
      </c>
      <c r="AU3983" s="162">
        <v>1</v>
      </c>
      <c r="AV3983" s="162"/>
      <c r="AW3983" s="162"/>
      <c r="AX3983" s="162"/>
      <c r="AY3983" s="162"/>
      <c r="AZ3983" s="162">
        <v>1</v>
      </c>
      <c r="BA3983" s="162">
        <v>1</v>
      </c>
      <c r="BB3983" s="162">
        <v>1</v>
      </c>
      <c r="BC3983" s="162">
        <v>1</v>
      </c>
      <c r="BD3983" s="162">
        <v>1</v>
      </c>
      <c r="BE3983" s="162">
        <v>1</v>
      </c>
      <c r="BF3983" s="162"/>
      <c r="BG3983" s="162"/>
      <c r="BH3983" s="162"/>
      <c r="BI3983" s="162"/>
      <c r="BJ3983" s="162">
        <v>1</v>
      </c>
      <c r="BK3983" s="162"/>
      <c r="BL3983" s="162"/>
      <c r="BM3983" s="162"/>
      <c r="BN3983" s="162"/>
      <c r="BO3983" s="162"/>
      <c r="BP3983" s="162"/>
      <c r="BQ3983" s="162"/>
      <c r="BR3983" s="162"/>
      <c r="BS3983" s="162"/>
      <c r="BT3983" s="162"/>
      <c r="BU3983" s="162"/>
    </row>
    <row r="3984" spans="1:73" x14ac:dyDescent="0.2">
      <c r="A3984" s="57">
        <v>722</v>
      </c>
      <c r="B3984" s="162" t="s">
        <v>3655</v>
      </c>
      <c r="C3984" s="195">
        <v>44781.394791666666</v>
      </c>
      <c r="D3984" s="55">
        <v>260</v>
      </c>
      <c r="I3984" s="46" t="s">
        <v>839</v>
      </c>
      <c r="J3984" s="162">
        <v>1</v>
      </c>
      <c r="K3984" s="162">
        <v>1</v>
      </c>
      <c r="L3984" s="162"/>
      <c r="M3984" s="162"/>
      <c r="N3984" s="162"/>
      <c r="O3984" s="162">
        <v>1</v>
      </c>
      <c r="P3984" s="162"/>
      <c r="Q3984" s="162"/>
      <c r="R3984" s="162"/>
      <c r="S3984" s="162">
        <v>1</v>
      </c>
      <c r="T3984" s="162"/>
      <c r="U3984" s="162"/>
      <c r="V3984" s="162"/>
      <c r="W3984" s="162">
        <v>1</v>
      </c>
      <c r="X3984" s="162"/>
      <c r="Y3984" s="162"/>
      <c r="Z3984" s="162"/>
      <c r="AA3984" s="162">
        <v>1</v>
      </c>
      <c r="AB3984" s="162"/>
      <c r="AC3984" s="162"/>
      <c r="AD3984" s="162"/>
      <c r="AE3984" s="162"/>
      <c r="AF3984" s="162"/>
      <c r="AG3984" s="162">
        <v>1</v>
      </c>
      <c r="AH3984" s="162"/>
      <c r="AI3984" s="162"/>
      <c r="AJ3984" s="162"/>
      <c r="AK3984" s="162"/>
      <c r="AL3984" s="162"/>
      <c r="AM3984" s="162">
        <v>1</v>
      </c>
      <c r="AN3984" s="162">
        <v>1</v>
      </c>
      <c r="AO3984" s="162">
        <v>1</v>
      </c>
      <c r="AP3984" s="162">
        <v>1</v>
      </c>
      <c r="AQ3984" s="162">
        <v>3</v>
      </c>
      <c r="AR3984" s="162">
        <v>3</v>
      </c>
      <c r="AS3984" s="162">
        <v>4</v>
      </c>
      <c r="AT3984" s="162">
        <v>1</v>
      </c>
      <c r="AU3984" s="162">
        <v>1</v>
      </c>
      <c r="AV3984" s="162"/>
      <c r="AW3984" s="162"/>
      <c r="AX3984" s="162"/>
      <c r="AY3984" s="162"/>
      <c r="AZ3984" s="162">
        <v>1</v>
      </c>
      <c r="BA3984" s="162">
        <v>1</v>
      </c>
      <c r="BB3984" s="162">
        <v>1</v>
      </c>
      <c r="BC3984" s="162">
        <v>1</v>
      </c>
      <c r="BD3984" s="162">
        <v>1</v>
      </c>
      <c r="BE3984" s="162">
        <v>1</v>
      </c>
      <c r="BF3984" s="162"/>
      <c r="BG3984" s="162"/>
      <c r="BH3984" s="162"/>
      <c r="BI3984" s="162"/>
      <c r="BJ3984" s="162">
        <v>1</v>
      </c>
      <c r="BK3984" s="162"/>
      <c r="BL3984" s="162"/>
      <c r="BM3984" s="162"/>
      <c r="BN3984" s="162"/>
      <c r="BO3984" s="162"/>
      <c r="BP3984" s="162"/>
      <c r="BQ3984" s="162"/>
      <c r="BR3984" s="162"/>
      <c r="BS3984" s="162"/>
      <c r="BT3984" s="162"/>
      <c r="BU3984" s="162"/>
    </row>
    <row r="3985" spans="1:73" x14ac:dyDescent="0.2">
      <c r="A3985" s="57">
        <v>722</v>
      </c>
      <c r="B3985" s="162" t="s">
        <v>3655</v>
      </c>
      <c r="C3985" s="195">
        <v>44781.376192129632</v>
      </c>
      <c r="D3985" s="55">
        <v>260</v>
      </c>
      <c r="I3985" s="46" t="s">
        <v>839</v>
      </c>
      <c r="J3985" s="162">
        <v>3</v>
      </c>
      <c r="K3985" s="162">
        <v>2</v>
      </c>
      <c r="L3985" s="162"/>
      <c r="M3985" s="162"/>
      <c r="N3985" s="162"/>
      <c r="O3985" s="162">
        <v>2</v>
      </c>
      <c r="P3985" s="162"/>
      <c r="Q3985" s="162"/>
      <c r="R3985" s="162"/>
      <c r="S3985" s="162">
        <v>1</v>
      </c>
      <c r="T3985" s="162"/>
      <c r="U3985" s="162"/>
      <c r="V3985" s="162"/>
      <c r="W3985" s="162">
        <v>1</v>
      </c>
      <c r="X3985" s="162"/>
      <c r="Y3985" s="162"/>
      <c r="Z3985" s="162"/>
      <c r="AA3985" s="162">
        <v>3</v>
      </c>
      <c r="AB3985" s="162">
        <v>1</v>
      </c>
      <c r="AC3985" s="162">
        <v>1</v>
      </c>
      <c r="AD3985" s="162">
        <v>1</v>
      </c>
      <c r="AE3985" s="162">
        <v>1</v>
      </c>
      <c r="AF3985" s="162">
        <v>1</v>
      </c>
      <c r="AG3985" s="162">
        <v>4</v>
      </c>
      <c r="AH3985" s="162">
        <v>2</v>
      </c>
      <c r="AI3985" s="162">
        <v>1</v>
      </c>
      <c r="AJ3985" s="162">
        <v>1</v>
      </c>
      <c r="AK3985" s="162">
        <v>1</v>
      </c>
      <c r="AL3985" s="162">
        <v>3</v>
      </c>
      <c r="AM3985" s="162">
        <v>1</v>
      </c>
      <c r="AN3985" s="162">
        <v>3</v>
      </c>
      <c r="AO3985" s="162">
        <v>3</v>
      </c>
      <c r="AP3985" s="162">
        <v>3</v>
      </c>
      <c r="AQ3985" s="162">
        <v>2</v>
      </c>
      <c r="AR3985" s="162">
        <v>1</v>
      </c>
      <c r="AS3985" s="162">
        <v>1</v>
      </c>
      <c r="AT3985" s="162">
        <v>2</v>
      </c>
      <c r="AU3985" s="162">
        <v>1</v>
      </c>
      <c r="AV3985" s="162"/>
      <c r="AW3985" s="162"/>
      <c r="AX3985" s="162"/>
      <c r="AY3985" s="162"/>
      <c r="AZ3985" s="162">
        <v>1</v>
      </c>
      <c r="BA3985" s="162">
        <v>1</v>
      </c>
      <c r="BB3985" s="162">
        <v>1</v>
      </c>
      <c r="BC3985" s="162">
        <v>1</v>
      </c>
      <c r="BD3985" s="162">
        <v>1</v>
      </c>
      <c r="BE3985" s="162">
        <v>2</v>
      </c>
      <c r="BF3985" s="162"/>
      <c r="BG3985" s="162"/>
      <c r="BH3985" s="162"/>
      <c r="BI3985" s="162"/>
      <c r="BJ3985" s="162">
        <v>2</v>
      </c>
      <c r="BK3985" s="162"/>
      <c r="BL3985" s="162"/>
      <c r="BM3985" s="162"/>
      <c r="BN3985" s="162"/>
      <c r="BO3985" s="162"/>
      <c r="BP3985" s="162"/>
      <c r="BQ3985" s="162"/>
      <c r="BR3985" s="162"/>
      <c r="BS3985" s="162"/>
      <c r="BT3985" s="162"/>
      <c r="BU3985" s="162"/>
    </row>
    <row r="3986" spans="1:73" x14ac:dyDescent="0.2">
      <c r="A3986" s="57">
        <v>622</v>
      </c>
      <c r="B3986" s="162" t="s">
        <v>3655</v>
      </c>
      <c r="C3986" s="195">
        <v>44753.933854166666</v>
      </c>
      <c r="D3986" s="55">
        <v>260</v>
      </c>
      <c r="I3986" s="46" t="s">
        <v>839</v>
      </c>
      <c r="J3986" s="162">
        <v>1</v>
      </c>
      <c r="K3986" s="162">
        <v>1</v>
      </c>
      <c r="L3986" s="162"/>
      <c r="M3986" s="162"/>
      <c r="N3986" s="162"/>
      <c r="O3986" s="162">
        <v>1</v>
      </c>
      <c r="P3986" s="162"/>
      <c r="Q3986" s="162"/>
      <c r="R3986" s="162"/>
      <c r="S3986" s="162">
        <v>1</v>
      </c>
      <c r="T3986" s="162"/>
      <c r="U3986" s="162"/>
      <c r="V3986" s="162"/>
      <c r="W3986" s="162">
        <v>1</v>
      </c>
      <c r="X3986" s="162"/>
      <c r="Y3986" s="162"/>
      <c r="Z3986" s="162"/>
      <c r="AA3986" s="162">
        <v>2</v>
      </c>
      <c r="AB3986" s="162"/>
      <c r="AC3986" s="162"/>
      <c r="AD3986" s="162"/>
      <c r="AE3986" s="162"/>
      <c r="AF3986" s="162"/>
      <c r="AG3986" s="162">
        <v>2</v>
      </c>
      <c r="AH3986" s="162"/>
      <c r="AI3986" s="162"/>
      <c r="AJ3986" s="162"/>
      <c r="AK3986" s="162"/>
      <c r="AL3986" s="162"/>
      <c r="AM3986" s="162">
        <v>4</v>
      </c>
      <c r="AN3986" s="162"/>
      <c r="AO3986" s="162"/>
      <c r="AP3986" s="162"/>
      <c r="AQ3986" s="162"/>
      <c r="AR3986" s="162"/>
      <c r="AS3986" s="162">
        <v>4</v>
      </c>
      <c r="AT3986" s="162">
        <v>1</v>
      </c>
      <c r="AU3986" s="162">
        <v>1</v>
      </c>
      <c r="AV3986" s="162"/>
      <c r="AW3986" s="162"/>
      <c r="AX3986" s="162"/>
      <c r="AY3986" s="162"/>
      <c r="AZ3986" s="162">
        <v>1</v>
      </c>
      <c r="BA3986" s="162">
        <v>1</v>
      </c>
      <c r="BB3986" s="162">
        <v>1</v>
      </c>
      <c r="BC3986" s="162">
        <v>1</v>
      </c>
      <c r="BD3986" s="162">
        <v>1</v>
      </c>
      <c r="BE3986" s="162">
        <v>1</v>
      </c>
      <c r="BF3986" s="162"/>
      <c r="BG3986" s="162"/>
      <c r="BH3986" s="162"/>
      <c r="BI3986" s="162"/>
      <c r="BJ3986" s="162">
        <v>1</v>
      </c>
      <c r="BK3986" s="162"/>
      <c r="BL3986" s="162"/>
      <c r="BM3986" s="162"/>
      <c r="BN3986" s="162"/>
      <c r="BO3986" s="162"/>
      <c r="BP3986" s="162"/>
      <c r="BQ3986" s="162"/>
      <c r="BR3986" s="162"/>
      <c r="BS3986" s="162"/>
      <c r="BT3986" s="162"/>
      <c r="BU3986" s="16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J2081"/>
  <sheetViews>
    <sheetView tabSelected="1" topLeftCell="A62" zoomScale="80" zoomScaleNormal="80" workbookViewId="0">
      <selection activeCell="K1810" activeCellId="20" sqref="K84:R84 K119 K155 K192 K228 K264 K301 K336 K374 K553 K691 K902 K936 K1041 K1075 K1216 K1321 K1357 K1740 K1775 K1810"/>
    </sheetView>
  </sheetViews>
  <sheetFormatPr defaultRowHeight="14.25" x14ac:dyDescent="0.2"/>
  <cols>
    <col min="1" max="1" width="13" customWidth="1"/>
    <col min="8" max="8" width="10.75" customWidth="1"/>
    <col min="9" max="9" width="13.625" customWidth="1"/>
    <col min="10" max="10" width="10.875" bestFit="1" customWidth="1"/>
    <col min="11" max="11" width="11.375" customWidth="1"/>
    <col min="12" max="12" width="12.75" customWidth="1"/>
    <col min="14" max="14" width="10.875" style="162" customWidth="1"/>
    <col min="15" max="15" width="12.875" customWidth="1"/>
    <col min="16" max="16" width="9.625" customWidth="1"/>
    <col min="18" max="19" width="9" customWidth="1"/>
  </cols>
  <sheetData>
    <row r="1" spans="1:7" ht="28.5" x14ac:dyDescent="0.2">
      <c r="A1" s="7" t="s">
        <v>15</v>
      </c>
      <c r="B1" s="7" t="s">
        <v>28</v>
      </c>
      <c r="C1" s="7" t="s">
        <v>32</v>
      </c>
      <c r="D1" s="7" t="s">
        <v>29</v>
      </c>
      <c r="E1" s="7" t="s">
        <v>30</v>
      </c>
      <c r="F1" s="8" t="s">
        <v>33</v>
      </c>
      <c r="G1" s="8" t="s">
        <v>31</v>
      </c>
    </row>
    <row r="2" spans="1:7" x14ac:dyDescent="0.2">
      <c r="A2" s="7" t="s">
        <v>3</v>
      </c>
      <c r="B2" s="7">
        <f>36+10</f>
        <v>46</v>
      </c>
      <c r="C2" s="7">
        <f>115-10</f>
        <v>105</v>
      </c>
      <c r="D2" s="7">
        <f>+B2+C2</f>
        <v>151</v>
      </c>
      <c r="E2" s="7">
        <f>45+8</f>
        <v>53</v>
      </c>
      <c r="F2" s="9">
        <f>110-8</f>
        <v>102</v>
      </c>
      <c r="G2" s="9">
        <f>+E2+F2</f>
        <v>155</v>
      </c>
    </row>
    <row r="3" spans="1:7" x14ac:dyDescent="0.2">
      <c r="A3" s="7" t="s">
        <v>4</v>
      </c>
      <c r="B3" s="7">
        <f>29+4</f>
        <v>33</v>
      </c>
      <c r="C3" s="7">
        <f>90-4</f>
        <v>86</v>
      </c>
      <c r="D3" s="7">
        <f t="shared" ref="D3:D13" si="0">+B3+C3</f>
        <v>119</v>
      </c>
      <c r="E3" s="7">
        <f>27+6</f>
        <v>33</v>
      </c>
      <c r="F3" s="9">
        <f>79-6</f>
        <v>73</v>
      </c>
      <c r="G3" s="9">
        <f t="shared" ref="G3:G13" si="1">+E3+F3</f>
        <v>106</v>
      </c>
    </row>
    <row r="4" spans="1:7" x14ac:dyDescent="0.2">
      <c r="A4" s="7" t="s">
        <v>5</v>
      </c>
      <c r="B4" s="7">
        <f>35+5</f>
        <v>40</v>
      </c>
      <c r="C4" s="7">
        <f>159-5</f>
        <v>154</v>
      </c>
      <c r="D4" s="7">
        <f t="shared" si="0"/>
        <v>194</v>
      </c>
      <c r="E4" s="7">
        <f>36+9</f>
        <v>45</v>
      </c>
      <c r="F4" s="9">
        <f>119-9</f>
        <v>110</v>
      </c>
      <c r="G4" s="9">
        <f t="shared" si="1"/>
        <v>155</v>
      </c>
    </row>
    <row r="5" spans="1:7" x14ac:dyDescent="0.2">
      <c r="A5" s="7" t="s">
        <v>6</v>
      </c>
      <c r="B5" s="7">
        <f>40+11</f>
        <v>51</v>
      </c>
      <c r="C5" s="7">
        <f>125-11</f>
        <v>114</v>
      </c>
      <c r="D5" s="7">
        <f t="shared" si="0"/>
        <v>165</v>
      </c>
      <c r="E5" s="7">
        <f>46+11</f>
        <v>57</v>
      </c>
      <c r="F5" s="9">
        <f>112-11</f>
        <v>101</v>
      </c>
      <c r="G5" s="9">
        <f t="shared" si="1"/>
        <v>158</v>
      </c>
    </row>
    <row r="6" spans="1:7" x14ac:dyDescent="0.2">
      <c r="A6" s="7" t="s">
        <v>7</v>
      </c>
      <c r="B6" s="7">
        <v>42</v>
      </c>
      <c r="C6" s="7">
        <v>136</v>
      </c>
      <c r="D6" s="7">
        <f t="shared" si="0"/>
        <v>178</v>
      </c>
      <c r="E6" s="7">
        <v>29</v>
      </c>
      <c r="F6" s="9">
        <v>119</v>
      </c>
      <c r="G6" s="9">
        <f t="shared" si="1"/>
        <v>148</v>
      </c>
    </row>
    <row r="7" spans="1:7" x14ac:dyDescent="0.2">
      <c r="A7" s="7" t="s">
        <v>8</v>
      </c>
      <c r="B7" s="7">
        <f>33+15</f>
        <v>48</v>
      </c>
      <c r="C7" s="7">
        <f>137-15</f>
        <v>122</v>
      </c>
      <c r="D7" s="7">
        <f t="shared" si="0"/>
        <v>170</v>
      </c>
      <c r="E7" s="7">
        <f>46+9</f>
        <v>55</v>
      </c>
      <c r="F7" s="9">
        <f>132-9</f>
        <v>123</v>
      </c>
      <c r="G7" s="9">
        <f t="shared" si="1"/>
        <v>178</v>
      </c>
    </row>
    <row r="8" spans="1:7" x14ac:dyDescent="0.2">
      <c r="A8" s="7" t="s">
        <v>9</v>
      </c>
      <c r="B8" s="7">
        <f>23+10</f>
        <v>33</v>
      </c>
      <c r="C8" s="7">
        <f>143-10</f>
        <v>133</v>
      </c>
      <c r="D8" s="7">
        <f t="shared" si="0"/>
        <v>166</v>
      </c>
      <c r="E8" s="7">
        <f>37+9</f>
        <v>46</v>
      </c>
      <c r="F8" s="9">
        <f>119-9</f>
        <v>110</v>
      </c>
      <c r="G8" s="9">
        <f t="shared" si="1"/>
        <v>156</v>
      </c>
    </row>
    <row r="9" spans="1:7" x14ac:dyDescent="0.2">
      <c r="A9" s="7" t="s">
        <v>10</v>
      </c>
      <c r="B9" s="7">
        <v>36</v>
      </c>
      <c r="C9" s="7">
        <v>102</v>
      </c>
      <c r="D9" s="7">
        <f t="shared" si="0"/>
        <v>138</v>
      </c>
      <c r="E9" s="7">
        <v>43</v>
      </c>
      <c r="F9" s="9">
        <v>109</v>
      </c>
      <c r="G9" s="9">
        <f t="shared" si="1"/>
        <v>152</v>
      </c>
    </row>
    <row r="10" spans="1:7" x14ac:dyDescent="0.2">
      <c r="A10" s="7" t="s">
        <v>11</v>
      </c>
      <c r="B10" s="7">
        <v>42</v>
      </c>
      <c r="C10" s="7">
        <v>171</v>
      </c>
      <c r="D10" s="7">
        <f t="shared" si="0"/>
        <v>213</v>
      </c>
      <c r="E10" s="7">
        <v>51</v>
      </c>
      <c r="F10" s="9">
        <v>129</v>
      </c>
      <c r="G10" s="9">
        <f t="shared" si="1"/>
        <v>180</v>
      </c>
    </row>
    <row r="11" spans="1:7" x14ac:dyDescent="0.2">
      <c r="A11" s="7" t="s">
        <v>12</v>
      </c>
      <c r="B11" s="7">
        <v>32</v>
      </c>
      <c r="C11" s="7">
        <v>76</v>
      </c>
      <c r="D11" s="7">
        <f t="shared" si="0"/>
        <v>108</v>
      </c>
      <c r="E11" s="7">
        <f>35+11</f>
        <v>46</v>
      </c>
      <c r="F11" s="9">
        <f>131-11</f>
        <v>120</v>
      </c>
      <c r="G11" s="9">
        <f t="shared" si="1"/>
        <v>166</v>
      </c>
    </row>
    <row r="12" spans="1:7" x14ac:dyDescent="0.2">
      <c r="A12" s="7" t="s">
        <v>13</v>
      </c>
      <c r="B12" s="7">
        <v>14</v>
      </c>
      <c r="C12" s="7">
        <v>112</v>
      </c>
      <c r="D12" s="7">
        <f t="shared" si="0"/>
        <v>126</v>
      </c>
      <c r="E12" s="7">
        <v>32</v>
      </c>
      <c r="F12" s="9">
        <v>110</v>
      </c>
      <c r="G12" s="9">
        <f t="shared" si="1"/>
        <v>142</v>
      </c>
    </row>
    <row r="13" spans="1:7" x14ac:dyDescent="0.2">
      <c r="A13" s="7" t="s">
        <v>14</v>
      </c>
      <c r="B13" s="7">
        <f>39+7</f>
        <v>46</v>
      </c>
      <c r="C13" s="7">
        <f>171-7</f>
        <v>164</v>
      </c>
      <c r="D13" s="7">
        <f t="shared" si="0"/>
        <v>210</v>
      </c>
      <c r="E13" s="7">
        <f>29+9</f>
        <v>38</v>
      </c>
      <c r="F13" s="9">
        <f>120-9</f>
        <v>111</v>
      </c>
      <c r="G13" s="9">
        <f t="shared" si="1"/>
        <v>149</v>
      </c>
    </row>
    <row r="14" spans="1:7" x14ac:dyDescent="0.2">
      <c r="A14" s="7" t="s">
        <v>16</v>
      </c>
      <c r="B14" s="7">
        <f>SUM(B2:B13)</f>
        <v>463</v>
      </c>
      <c r="C14" s="7">
        <f t="shared" ref="C14:G14" si="2">SUM(C2:C13)</f>
        <v>1475</v>
      </c>
      <c r="D14" s="7">
        <f t="shared" si="2"/>
        <v>1938</v>
      </c>
      <c r="E14" s="7">
        <f t="shared" si="2"/>
        <v>528</v>
      </c>
      <c r="F14" s="7">
        <f t="shared" si="2"/>
        <v>1317</v>
      </c>
      <c r="G14" s="7">
        <f t="shared" si="2"/>
        <v>1845</v>
      </c>
    </row>
    <row r="16" spans="1:7" ht="15" thickBot="1" x14ac:dyDescent="0.25"/>
    <row r="17" spans="1:25" ht="14.25" customHeight="1" x14ac:dyDescent="0.2">
      <c r="A17" s="243" t="s">
        <v>190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5"/>
    </row>
    <row r="18" spans="1:25" ht="15" customHeight="1" thickBot="1" x14ac:dyDescent="0.25">
      <c r="A18" s="246"/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8"/>
    </row>
    <row r="19" spans="1:25" s="162" customFormat="1" x14ac:dyDescent="0.2"/>
    <row r="20" spans="1:25" ht="4.5" customHeight="1" thickBot="1" x14ac:dyDescent="0.25"/>
    <row r="21" spans="1:25" ht="14.25" customHeight="1" x14ac:dyDescent="0.2">
      <c r="A21" s="257" t="s">
        <v>17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26" t="s">
        <v>181</v>
      </c>
      <c r="O21" s="226"/>
      <c r="P21" s="226"/>
      <c r="Q21" s="226"/>
      <c r="R21" s="226"/>
      <c r="S21" s="226"/>
    </row>
    <row r="22" spans="1:25" ht="27" customHeight="1" thickBot="1" x14ac:dyDescent="0.25">
      <c r="A22" s="259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23" t="s">
        <v>182</v>
      </c>
      <c r="O22" s="223" t="s">
        <v>182</v>
      </c>
      <c r="P22" s="223" t="s">
        <v>182</v>
      </c>
      <c r="Q22" s="223" t="s">
        <v>182</v>
      </c>
      <c r="R22" s="223" t="s">
        <v>182</v>
      </c>
      <c r="S22" s="223" t="s">
        <v>182</v>
      </c>
      <c r="T22" s="223" t="s">
        <v>182</v>
      </c>
      <c r="U22" s="229" t="s">
        <v>183</v>
      </c>
      <c r="V22" s="229" t="s">
        <v>179</v>
      </c>
      <c r="W22" s="222" t="s">
        <v>179</v>
      </c>
      <c r="X22" s="222" t="s">
        <v>179</v>
      </c>
    </row>
    <row r="23" spans="1:25" s="1" customFormat="1" ht="18.75" customHeight="1" thickBot="1" x14ac:dyDescent="0.25">
      <c r="A23" s="10"/>
      <c r="B23" s="261" t="s">
        <v>27</v>
      </c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23"/>
      <c r="O23" s="223"/>
      <c r="P23" s="223"/>
      <c r="Q23" s="223"/>
      <c r="R23" s="223"/>
      <c r="S23" s="223"/>
      <c r="T23" s="223"/>
      <c r="U23" s="229"/>
      <c r="V23" s="229"/>
      <c r="W23" s="222"/>
      <c r="X23" s="222"/>
    </row>
    <row r="24" spans="1:25" s="1" customFormat="1" ht="58.5" customHeight="1" x14ac:dyDescent="0.2">
      <c r="A24" s="11"/>
      <c r="B24" s="16" t="s">
        <v>19</v>
      </c>
      <c r="C24" s="17" t="s">
        <v>34</v>
      </c>
      <c r="D24" s="18" t="s">
        <v>22</v>
      </c>
      <c r="E24" s="16" t="s">
        <v>20</v>
      </c>
      <c r="F24" s="17" t="s">
        <v>21</v>
      </c>
      <c r="G24" s="23" t="s">
        <v>23</v>
      </c>
      <c r="H24" s="16" t="s">
        <v>46</v>
      </c>
      <c r="I24" s="17" t="s">
        <v>47</v>
      </c>
      <c r="J24" s="23" t="s">
        <v>45</v>
      </c>
      <c r="K24" s="16" t="s">
        <v>24</v>
      </c>
      <c r="L24" s="17" t="s">
        <v>26</v>
      </c>
      <c r="M24" s="188" t="s">
        <v>25</v>
      </c>
      <c r="N24" s="197">
        <v>2021</v>
      </c>
      <c r="O24" s="197">
        <v>2020</v>
      </c>
      <c r="P24" s="197">
        <v>2019</v>
      </c>
      <c r="Q24" s="197">
        <v>2018</v>
      </c>
      <c r="R24" s="197">
        <v>2017</v>
      </c>
      <c r="S24" s="7">
        <v>2016</v>
      </c>
      <c r="T24" s="7">
        <v>2015</v>
      </c>
      <c r="U24" s="7">
        <v>2014</v>
      </c>
      <c r="V24" s="7">
        <v>2013</v>
      </c>
      <c r="W24" s="7">
        <v>2012</v>
      </c>
      <c r="X24" s="7">
        <v>2011</v>
      </c>
      <c r="Y24" s="2"/>
    </row>
    <row r="25" spans="1:25" x14ac:dyDescent="0.2">
      <c r="A25" s="12" t="s">
        <v>3</v>
      </c>
      <c r="B25" s="42">
        <f t="shared" ref="B25:C36" si="3">+B2</f>
        <v>46</v>
      </c>
      <c r="C25" s="9">
        <f t="shared" si="3"/>
        <v>105</v>
      </c>
      <c r="D25" s="20">
        <f>+B25+C25</f>
        <v>151</v>
      </c>
      <c r="E25" s="42">
        <f>COUNTIFS(DATA!$A$3:$A$1007183,1021,DATA!$D$3:$D$1007183,260,DATA!$B$3:$B$1007183,"M", DATA!$I$3:$I$1007183,"D")</f>
        <v>10</v>
      </c>
      <c r="F25" s="9">
        <f>COUNTIFS(DATA!$A$3:$A$1007183,1021,DATA!$D$3:$D$1007183,260,DATA!$B$3:$B$1007183,"I",DATA!$I$3:$I$1007183,"D")</f>
        <v>7</v>
      </c>
      <c r="G25" s="20">
        <f>+E25+F25</f>
        <v>17</v>
      </c>
      <c r="H25" s="42">
        <f>COUNTIFS(DATA!$A$3:$A$1007183,1021,DATA!$D$3:$D$1007183,260,DATA!$B$3:$B$1007183,"M",DATA!$I$3:$I$1007183,"u")</f>
        <v>3</v>
      </c>
      <c r="I25" s="9">
        <f>COUNTIFS(DATA!$A$3:$A$1007183,1021,DATA!$D$3:$D$1007183,260,DATA!$B$3:$B$1007183,"I",DATA!$I$3:$I$1007183,"u")</f>
        <v>1</v>
      </c>
      <c r="J25" s="20">
        <f>+H25+I25</f>
        <v>4</v>
      </c>
      <c r="K25" s="38">
        <f>IF(B25=0,0,+E25/(+B25-H25))</f>
        <v>0.23255813953488372</v>
      </c>
      <c r="L25" s="39">
        <f>IF(C25=0,0,+F25/(+C25-I25))</f>
        <v>6.7307692307692304E-2</v>
      </c>
      <c r="M25" s="36">
        <f>IF(D25=0,0,+G25/(+D25-J25))</f>
        <v>0.11564625850340136</v>
      </c>
      <c r="N25" s="198"/>
      <c r="O25" s="198"/>
      <c r="P25" s="198"/>
      <c r="Q25" s="198"/>
      <c r="R25" s="198"/>
      <c r="S25" s="162"/>
    </row>
    <row r="26" spans="1:25" x14ac:dyDescent="0.2">
      <c r="A26" s="12" t="s">
        <v>4</v>
      </c>
      <c r="B26" s="42">
        <f t="shared" si="3"/>
        <v>33</v>
      </c>
      <c r="C26" s="9">
        <f t="shared" si="3"/>
        <v>86</v>
      </c>
      <c r="D26" s="20">
        <f t="shared" ref="D26:D37" si="4">+B26+C26</f>
        <v>119</v>
      </c>
      <c r="E26" s="42">
        <f>COUNTIFS(DATA!$A$3:$A$1007183,1121,DATA!$D$3:$D$1007183,260,DATA!$B$3:$B$1007183,"M",DATA!$I$3:$I$1007183,"D")</f>
        <v>5</v>
      </c>
      <c r="F26" s="9">
        <f>COUNTIFS(DATA!$A$3:$A$7183,1121,DATA!$D$3:$D$7183,260,DATA!$B$3:$B$7183,"I",DATA!$I$3:$I$7183,"D")</f>
        <v>8</v>
      </c>
      <c r="G26" s="20">
        <f t="shared" ref="G26:G37" si="5">+E26+F26</f>
        <v>13</v>
      </c>
      <c r="H26" s="42">
        <f>COUNTIFS(DATA!$A$3:$A$1007183,1121,DATA!$D$3:$D$1007183,260,DATA!$B$3:$B$1007183,"M",DATA!$I$3:$I$1007183,"u")</f>
        <v>1</v>
      </c>
      <c r="I26" s="9">
        <f>COUNTIFS(DATA!$A$3:$A$1007183,1121,DATA!$D$3:$D$1007183,260,DATA!$B$3:$B$1007183,"I",DATA!$I$3:$I$1007183,"u")</f>
        <v>0</v>
      </c>
      <c r="J26" s="20">
        <f t="shared" ref="J26:J37" si="6">+H26+I26</f>
        <v>1</v>
      </c>
      <c r="K26" s="38">
        <f t="shared" ref="K26:K38" si="7">IF(B26=0,0,+E26/(+B26-H26))</f>
        <v>0.15625</v>
      </c>
      <c r="L26" s="39">
        <f t="shared" ref="L26:L38" si="8">IF(C26=0,0,+F26/(+C26-I26))</f>
        <v>9.3023255813953487E-2</v>
      </c>
      <c r="M26" s="36">
        <f t="shared" ref="M26:M38" si="9">IF(D26=0,0,+G26/(+D26-J26))</f>
        <v>0.11016949152542373</v>
      </c>
      <c r="N26" s="198"/>
      <c r="O26" s="198"/>
      <c r="P26" s="198"/>
      <c r="Q26" s="198"/>
      <c r="R26" s="198"/>
      <c r="S26" s="162"/>
    </row>
    <row r="27" spans="1:25" x14ac:dyDescent="0.2">
      <c r="A27" s="12" t="s">
        <v>5</v>
      </c>
      <c r="B27" s="42">
        <f t="shared" si="3"/>
        <v>40</v>
      </c>
      <c r="C27" s="9">
        <f t="shared" si="3"/>
        <v>154</v>
      </c>
      <c r="D27" s="20">
        <f t="shared" si="4"/>
        <v>194</v>
      </c>
      <c r="E27" s="42">
        <f>COUNTIFS(DATA!$A$3:$A$1007183,1221,DATA!$D$3:$D$1007183,260,DATA!$B$3:$B$1007183,"M",DATA!$I$3:$I$1007183,"D")</f>
        <v>4</v>
      </c>
      <c r="F27" s="9">
        <f>COUNTIFS(DATA!$A$3:$A$7183,1221,DATA!$D$3:$D$7183,260,DATA!$B$3:$B$7183,"I",DATA!$I$3:$I$7183,"D")</f>
        <v>20</v>
      </c>
      <c r="G27" s="20">
        <f t="shared" si="5"/>
        <v>24</v>
      </c>
      <c r="H27" s="42">
        <f>COUNTIFS(DATA!$A$3:$A$1007183,1221,DATA!$D$3:$D$1007183,260,DATA!$B$3:$B$1007183,"M",DATA!$I$3:$I$1007183,"u")</f>
        <v>2</v>
      </c>
      <c r="I27" s="9">
        <f>COUNTIFS(DATA!$A$3:$A$1007183,1221,DATA!$D$3:$D$1007183,260,DATA!$B$3:$B$1007183,"I",DATA!$I$3:$I$1007183,"u")</f>
        <v>0</v>
      </c>
      <c r="J27" s="20">
        <f t="shared" si="6"/>
        <v>2</v>
      </c>
      <c r="K27" s="38">
        <f t="shared" si="7"/>
        <v>0.10526315789473684</v>
      </c>
      <c r="L27" s="39">
        <f t="shared" si="8"/>
        <v>0.12987012987012986</v>
      </c>
      <c r="M27" s="36">
        <f t="shared" si="9"/>
        <v>0.125</v>
      </c>
      <c r="N27" s="198"/>
      <c r="O27" s="198"/>
      <c r="P27" s="198"/>
      <c r="Q27" s="198"/>
      <c r="R27" s="198"/>
      <c r="S27" s="162"/>
    </row>
    <row r="28" spans="1:25" x14ac:dyDescent="0.2">
      <c r="A28" s="12" t="s">
        <v>6</v>
      </c>
      <c r="B28" s="42">
        <f t="shared" si="3"/>
        <v>51</v>
      </c>
      <c r="C28" s="9">
        <f t="shared" si="3"/>
        <v>114</v>
      </c>
      <c r="D28" s="20">
        <f t="shared" si="4"/>
        <v>165</v>
      </c>
      <c r="E28" s="42">
        <f>COUNTIFS(DATA!$A$3:$A$1007183,122,DATA!$D$3:$D$1007183,260,DATA!$B$3:$B$1007183,"M",DATA!$I$3:$I$1007183,"D")</f>
        <v>11</v>
      </c>
      <c r="F28" s="9">
        <f>COUNTIFS(DATA!$A$3:$A$7183,122,DATA!$D$3:$D$7183,260,DATA!$B$3:$B$7183,"I",DATA!$I$3:$I$7183,"D")</f>
        <v>6</v>
      </c>
      <c r="G28" s="20">
        <f t="shared" si="5"/>
        <v>17</v>
      </c>
      <c r="H28" s="42">
        <f>COUNTIFS(DATA!$A$3:$A$1007183,122,DATA!$D$3:$D$1007183,260,DATA!$B$3:$B$1007183,"M",DATA!$I$3:$I$1007183,"u")</f>
        <v>5</v>
      </c>
      <c r="I28" s="9">
        <f>COUNTIFS(DATA!$A$3:$A$1007183,122,DATA!$D$3:$D$1007183,260,DATA!$B$3:$B$1007183,"I",DATA!$I$3:$I$1007183,"u")</f>
        <v>0</v>
      </c>
      <c r="J28" s="20">
        <f t="shared" si="6"/>
        <v>5</v>
      </c>
      <c r="K28" s="38">
        <f t="shared" si="7"/>
        <v>0.2391304347826087</v>
      </c>
      <c r="L28" s="39">
        <f t="shared" si="8"/>
        <v>5.2631578947368418E-2</v>
      </c>
      <c r="M28" s="36">
        <f t="shared" si="9"/>
        <v>0.10625</v>
      </c>
      <c r="N28" s="198"/>
      <c r="O28" s="198"/>
      <c r="P28" s="198"/>
      <c r="Q28" s="198"/>
      <c r="R28" s="198"/>
      <c r="S28" s="162"/>
    </row>
    <row r="29" spans="1:25" x14ac:dyDescent="0.2">
      <c r="A29" s="12" t="s">
        <v>7</v>
      </c>
      <c r="B29" s="42">
        <f t="shared" si="3"/>
        <v>42</v>
      </c>
      <c r="C29" s="9">
        <f t="shared" si="3"/>
        <v>136</v>
      </c>
      <c r="D29" s="20">
        <f t="shared" si="4"/>
        <v>178</v>
      </c>
      <c r="E29" s="42">
        <f>COUNTIFS(DATA!$A$3:$A$1007183,222,DATA!$D$3:$D$1007183,260,DATA!$B$3:$B$1007183,"M",DATA!$I$3:$I$1007183,"D")</f>
        <v>9</v>
      </c>
      <c r="F29" s="9">
        <f>COUNTIFS(DATA!$A$3:$A$7183,222,DATA!$D$3:$D$7183,260,DATA!$B$3:$B$7183,"I",DATA!$I$3:$I$7183,"D")</f>
        <v>24</v>
      </c>
      <c r="G29" s="20">
        <f t="shared" si="5"/>
        <v>33</v>
      </c>
      <c r="H29" s="42">
        <f>COUNTIFS(DATA!$A$3:$A$1007183,222,DATA!$D$3:$D$1007183,260,DATA!$B$3:$B$1007183,"M",DATA!$I$3:$I$1007183,"u")</f>
        <v>2</v>
      </c>
      <c r="I29" s="9">
        <f>COUNTIFS(DATA!$A$3:$A$1007183,222,DATA!$D$3:$D$1007183,260,DATA!$B$3:$B$1007183,"I",DATA!$I$3:$I$1007183,"u")</f>
        <v>0</v>
      </c>
      <c r="J29" s="20">
        <f t="shared" si="6"/>
        <v>2</v>
      </c>
      <c r="K29" s="38">
        <f t="shared" si="7"/>
        <v>0.22500000000000001</v>
      </c>
      <c r="L29" s="39">
        <f t="shared" si="8"/>
        <v>0.17647058823529413</v>
      </c>
      <c r="M29" s="36">
        <f t="shared" si="9"/>
        <v>0.1875</v>
      </c>
      <c r="N29" s="198"/>
      <c r="O29" s="198"/>
      <c r="P29" s="198"/>
      <c r="Q29" s="198"/>
      <c r="R29" s="198"/>
      <c r="S29" s="162"/>
    </row>
    <row r="30" spans="1:25" x14ac:dyDescent="0.2">
      <c r="A30" s="12" t="s">
        <v>8</v>
      </c>
      <c r="B30" s="42">
        <f t="shared" si="3"/>
        <v>48</v>
      </c>
      <c r="C30" s="9">
        <f t="shared" si="3"/>
        <v>122</v>
      </c>
      <c r="D30" s="20">
        <f t="shared" ref="D30" si="10">+B30+C30</f>
        <v>170</v>
      </c>
      <c r="E30" s="42">
        <f>COUNTIFS(DATA!$A$3:$A$7183,322,DATA!$D$3:$D$7183,260,DATA!$B$3:$B$7183,"M",DATA!$I$3:$I$7183,"D")</f>
        <v>8</v>
      </c>
      <c r="F30" s="9">
        <f>COUNTIFS(DATA!$A$3:$A$7183,322,DATA!$D$3:$D$7183,260,DATA!$B$3:$B$7183,"I",DATA!$I$3:$I$7183,"D")</f>
        <v>1</v>
      </c>
      <c r="G30" s="20">
        <f t="shared" si="5"/>
        <v>9</v>
      </c>
      <c r="H30" s="42">
        <f>COUNTIFS(DATA!$A$3:$A$7183,322,DATA!$D$3:$D$7183,260,DATA!$B$3:$B$7183,"M",DATA!$I$3:$I$7183,"u")</f>
        <v>16</v>
      </c>
      <c r="I30" s="9">
        <f>COUNTIFS(DATA!$A$3:$A$7183,322,DATA!$D$3:$D$7183,260,DATA!$B$3:$B$7183,"I",DATA!$I$3:$I$7183,"u")</f>
        <v>0</v>
      </c>
      <c r="J30" s="20">
        <f t="shared" si="6"/>
        <v>16</v>
      </c>
      <c r="K30" s="38">
        <f t="shared" si="7"/>
        <v>0.25</v>
      </c>
      <c r="L30" s="39">
        <f t="shared" si="8"/>
        <v>8.1967213114754103E-3</v>
      </c>
      <c r="M30" s="36">
        <f t="shared" si="9"/>
        <v>5.844155844155844E-2</v>
      </c>
      <c r="N30" s="198"/>
      <c r="O30" s="198"/>
      <c r="P30" s="198"/>
      <c r="Q30" s="198"/>
      <c r="R30" s="198"/>
      <c r="S30" s="162"/>
    </row>
    <row r="31" spans="1:25" x14ac:dyDescent="0.2">
      <c r="A31" s="12" t="s">
        <v>9</v>
      </c>
      <c r="B31" s="42">
        <f t="shared" si="3"/>
        <v>33</v>
      </c>
      <c r="C31" s="9">
        <f t="shared" si="3"/>
        <v>133</v>
      </c>
      <c r="D31" s="20">
        <f t="shared" si="4"/>
        <v>166</v>
      </c>
      <c r="E31" s="42">
        <f>COUNTIFS(DATA!$A$3:$A$7183,422,DATA!$D$3:$D$7183,260,DATA!$B$3:$B$7183,"M",DATA!$I$3:$I$7183,"D")</f>
        <v>8</v>
      </c>
      <c r="F31" s="9">
        <f>COUNTIFS(DATA!$A$3:$A$7183,422,DATA!$D$3:$D$7183,260,DATA!$B$3:$B$7183,"I",DATA!$I$3:$I$7183,"D")</f>
        <v>26</v>
      </c>
      <c r="G31" s="20">
        <f t="shared" si="5"/>
        <v>34</v>
      </c>
      <c r="H31" s="42">
        <f>COUNTIFS(DATA!$A$3:$A$7183,422,DATA!$D$3:$D$7183,260,DATA!$B$3:$B$7183,"M",DATA!$I$3:$I$7183,"u")</f>
        <v>3</v>
      </c>
      <c r="I31" s="9">
        <f>COUNTIFS(DATA!$A$3:$A$7183,422,DATA!$D$3:$D$7183,260,DATA!$B$3:$B$7183,"I",DATA!$I$3:$I$7183,"u")</f>
        <v>0</v>
      </c>
      <c r="J31" s="20">
        <f t="shared" si="6"/>
        <v>3</v>
      </c>
      <c r="K31" s="38">
        <f t="shared" si="7"/>
        <v>0.26666666666666666</v>
      </c>
      <c r="L31" s="39">
        <f t="shared" si="8"/>
        <v>0.19548872180451127</v>
      </c>
      <c r="M31" s="36">
        <f t="shared" si="9"/>
        <v>0.20858895705521471</v>
      </c>
      <c r="N31" s="198"/>
      <c r="O31" s="198"/>
      <c r="P31" s="198"/>
      <c r="Q31" s="198"/>
      <c r="R31" s="198"/>
      <c r="S31" s="162"/>
    </row>
    <row r="32" spans="1:25" x14ac:dyDescent="0.2">
      <c r="A32" s="12" t="s">
        <v>10</v>
      </c>
      <c r="B32" s="42">
        <f t="shared" si="3"/>
        <v>36</v>
      </c>
      <c r="C32" s="9">
        <f t="shared" si="3"/>
        <v>102</v>
      </c>
      <c r="D32" s="20">
        <f t="shared" si="4"/>
        <v>138</v>
      </c>
      <c r="E32" s="42">
        <f>COUNTIFS(DATA!$A$3:$A$7183,522,DATA!$D$3:$D$7183,260,DATA!$B$3:$B$7183,"M",DATA!$I$3:$I$7183,"D")</f>
        <v>7</v>
      </c>
      <c r="F32" s="9">
        <f>COUNTIFS(DATA!$A$3:$A$7183,522,DATA!$D$3:$D$7183,260,DATA!$B$3:$B$7183,"I",DATA!$I$3:$I$7183,"D")</f>
        <v>7</v>
      </c>
      <c r="G32" s="20">
        <f t="shared" si="5"/>
        <v>14</v>
      </c>
      <c r="H32" s="42">
        <f>COUNTIFS(DATA!$A$3:$A$7183,522,DATA!$D$3:$D$7183,260,DATA!$B$3:$B$7183,"M",DATA!$I$3:$I$7183,"u")</f>
        <v>4</v>
      </c>
      <c r="I32" s="9">
        <f>COUNTIFS(DATA!$A$3:$A$7183,522,DATA!$D$3:$D$7183,260,DATA!$B$3:$B$7183,"I",DATA!$I$3:$I$7183,"u")</f>
        <v>0</v>
      </c>
      <c r="J32" s="20">
        <f t="shared" si="6"/>
        <v>4</v>
      </c>
      <c r="K32" s="38">
        <f t="shared" si="7"/>
        <v>0.21875</v>
      </c>
      <c r="L32" s="39">
        <f t="shared" si="8"/>
        <v>6.8627450980392163E-2</v>
      </c>
      <c r="M32" s="36">
        <f t="shared" si="9"/>
        <v>0.1044776119402985</v>
      </c>
      <c r="N32" s="198"/>
      <c r="O32" s="198"/>
      <c r="P32" s="198"/>
      <c r="Q32" s="198"/>
      <c r="R32" s="198"/>
      <c r="S32" s="162"/>
    </row>
    <row r="33" spans="1:26" x14ac:dyDescent="0.2">
      <c r="A33" s="12" t="s">
        <v>11</v>
      </c>
      <c r="B33" s="42">
        <f t="shared" si="3"/>
        <v>42</v>
      </c>
      <c r="C33" s="9">
        <f t="shared" si="3"/>
        <v>171</v>
      </c>
      <c r="D33" s="20">
        <f t="shared" si="4"/>
        <v>213</v>
      </c>
      <c r="E33" s="42">
        <f>COUNTIFS(DATA!$A$3:$A$7183,622,DATA!$D$3:$D$7183,260,DATA!$B$3:$B$7183,"M",DATA!$I$3:$I$7183,"D")</f>
        <v>5</v>
      </c>
      <c r="F33" s="9">
        <f>COUNTIFS(DATA!$A$3:$A$7183,622,DATA!$D$3:$D$7183,260,DATA!$B$3:$B$7183,"I",DATA!$I$3:$I$7183,"D")</f>
        <v>20</v>
      </c>
      <c r="G33" s="20">
        <f t="shared" si="5"/>
        <v>25</v>
      </c>
      <c r="H33" s="42">
        <f>COUNTIFS(DATA!$A$3:$A$7183,622,DATA!$D$3:$D$7183,260,DATA!$B$3:$B$7183,"M",DATA!$I$3:$I$7183,"u")</f>
        <v>4</v>
      </c>
      <c r="I33" s="9">
        <f>COUNTIFS(DATA!$A$3:$A$7183,622,DATA!$D$3:$D$7183,260,DATA!$B$3:$B$7183,"I",DATA!$I$3:$I$7183,"u")</f>
        <v>0</v>
      </c>
      <c r="J33" s="20">
        <f t="shared" si="6"/>
        <v>4</v>
      </c>
      <c r="K33" s="38">
        <f t="shared" si="7"/>
        <v>0.13157894736842105</v>
      </c>
      <c r="L33" s="39">
        <f t="shared" si="8"/>
        <v>0.11695906432748537</v>
      </c>
      <c r="M33" s="36">
        <f t="shared" si="9"/>
        <v>0.11961722488038277</v>
      </c>
      <c r="N33" s="198"/>
      <c r="O33" s="198"/>
      <c r="P33" s="198"/>
      <c r="Q33" s="198"/>
      <c r="R33" s="198"/>
      <c r="S33" s="162"/>
    </row>
    <row r="34" spans="1:26" x14ac:dyDescent="0.2">
      <c r="A34" s="12" t="s">
        <v>12</v>
      </c>
      <c r="B34" s="42">
        <f t="shared" si="3"/>
        <v>32</v>
      </c>
      <c r="C34" s="9">
        <f t="shared" si="3"/>
        <v>76</v>
      </c>
      <c r="D34" s="20">
        <f t="shared" si="4"/>
        <v>108</v>
      </c>
      <c r="E34" s="42">
        <f>COUNTIFS(DATA!$A$3:$A$7183,722,DATA!$D$3:$D$7183,260,DATA!$B$3:$B$7183,"M",DATA!$I$3:$I$7183,"D")</f>
        <v>7</v>
      </c>
      <c r="F34" s="9">
        <f>COUNTIFS(DATA!$A$3:$A$7183,722,DATA!$D$3:$D$7183,260,DATA!$B$3:$B$7183,"I",DATA!$I$3:$I$7183,"D")</f>
        <v>4</v>
      </c>
      <c r="G34" s="20">
        <f t="shared" si="5"/>
        <v>11</v>
      </c>
      <c r="H34" s="42">
        <f>COUNTIFS(DATA!$A$3:$A$7183,722,DATA!$D$3:$D$7183,260,DATA!$B$3:$B$7183,"M",DATA!$I$3:$I$7183,"u")</f>
        <v>5</v>
      </c>
      <c r="I34" s="9">
        <f>COUNTIFS(DATA!$A$3:$A$7183,722,DATA!$D$3:$D$7183,260,DATA!$B$3:$B$7183,"I",DATA!$I$3:$I$7183,"u")</f>
        <v>0</v>
      </c>
      <c r="J34" s="20">
        <f t="shared" si="6"/>
        <v>5</v>
      </c>
      <c r="K34" s="38">
        <f t="shared" si="7"/>
        <v>0.25925925925925924</v>
      </c>
      <c r="L34" s="39">
        <f t="shared" si="8"/>
        <v>5.2631578947368418E-2</v>
      </c>
      <c r="M34" s="36">
        <f t="shared" si="9"/>
        <v>0.10679611650485436</v>
      </c>
      <c r="N34" s="198"/>
      <c r="O34" s="198"/>
      <c r="P34" s="198"/>
      <c r="Q34" s="198"/>
      <c r="R34" s="198"/>
      <c r="S34" s="162"/>
    </row>
    <row r="35" spans="1:26" x14ac:dyDescent="0.2">
      <c r="A35" s="12" t="s">
        <v>13</v>
      </c>
      <c r="B35" s="42">
        <f t="shared" si="3"/>
        <v>14</v>
      </c>
      <c r="C35" s="9">
        <f t="shared" si="3"/>
        <v>112</v>
      </c>
      <c r="D35" s="20">
        <f t="shared" si="4"/>
        <v>126</v>
      </c>
      <c r="E35" s="42">
        <f>COUNTIFS(DATA!$A$3:$A$7183,822,DATA!$D$3:$D$7183,260,DATA!$B$3:$B$7183,"M",DATA!$I$3:$I$7183,"D")</f>
        <v>3</v>
      </c>
      <c r="F35" s="9">
        <f>COUNTIFS(DATA!$A$3:$A$7183,822,DATA!$D$3:$D$7183,260,DATA!$B$3:$B$7183,"I",DATA!$I$3:$I$7183,"D")</f>
        <v>5</v>
      </c>
      <c r="G35" s="20">
        <f t="shared" si="5"/>
        <v>8</v>
      </c>
      <c r="H35" s="42">
        <f>COUNTIFS(DATA!$A$3:$A$7183,822,DATA!$D$3:$D$7183,260,DATA!$B$3:$B$7183,"M",DATA!$I$3:$I$7183,"u")</f>
        <v>0</v>
      </c>
      <c r="I35" s="9">
        <f>COUNTIFS(DATA!$A$3:$A$7183,822,DATA!$D$3:$D$7183,260,DATA!$B$3:$B$7183,"I",DATA!$I$3:$I$7183,"u")</f>
        <v>0</v>
      </c>
      <c r="J35" s="20">
        <f t="shared" si="6"/>
        <v>0</v>
      </c>
      <c r="K35" s="38">
        <f t="shared" si="7"/>
        <v>0.21428571428571427</v>
      </c>
      <c r="L35" s="39">
        <f t="shared" si="8"/>
        <v>4.4642857142857144E-2</v>
      </c>
      <c r="M35" s="36">
        <f t="shared" si="9"/>
        <v>6.3492063492063489E-2</v>
      </c>
      <c r="N35" s="198"/>
      <c r="O35" s="198"/>
      <c r="P35" s="198"/>
      <c r="Q35" s="198"/>
      <c r="R35" s="198"/>
      <c r="S35" s="162"/>
    </row>
    <row r="36" spans="1:26" x14ac:dyDescent="0.2">
      <c r="A36" s="12" t="s">
        <v>14</v>
      </c>
      <c r="B36" s="42">
        <f t="shared" si="3"/>
        <v>46</v>
      </c>
      <c r="C36" s="9">
        <f t="shared" si="3"/>
        <v>164</v>
      </c>
      <c r="D36" s="20">
        <f t="shared" si="4"/>
        <v>210</v>
      </c>
      <c r="E36" s="42">
        <f>COUNTIFS(DATA!$A$3:$A$7183,922,DATA!$D$3:$D$7183,260,DATA!$B$3:$B$7183,"M",DATA!$I$3:$I$7183,"D")</f>
        <v>16</v>
      </c>
      <c r="F36" s="9">
        <f>COUNTIFS(DATA!$A$3:$A$7183,922,DATA!$D$3:$D$7183,260,DATA!$B$3:$B$7183,"I",DATA!$I$3:$I$7183,"D")</f>
        <v>8</v>
      </c>
      <c r="G36" s="20">
        <f t="shared" si="5"/>
        <v>24</v>
      </c>
      <c r="H36" s="42">
        <f>COUNTIFS(DATA!$A$3:$A$7183,922,DATA!$D$3:$D$7183,260,DATA!$B$3:$B$7183,"M",DATA!$I$3:$I$7183,"u")</f>
        <v>2</v>
      </c>
      <c r="I36" s="9">
        <f>COUNTIFS(DATA!$A$3:$A$7183,922,DATA!$D$3:$D$7183,260,DATA!$B$3:$B$7183,"I",DATA!$I$3:$I$7183,"u")</f>
        <v>0</v>
      </c>
      <c r="J36" s="20">
        <f t="shared" si="6"/>
        <v>2</v>
      </c>
      <c r="K36" s="38">
        <f t="shared" si="7"/>
        <v>0.36363636363636365</v>
      </c>
      <c r="L36" s="39">
        <f t="shared" si="8"/>
        <v>4.878048780487805E-2</v>
      </c>
      <c r="M36" s="36">
        <f t="shared" si="9"/>
        <v>0.11538461538461539</v>
      </c>
      <c r="N36" s="198"/>
      <c r="O36" s="198"/>
      <c r="P36" s="198"/>
      <c r="Q36" s="198"/>
      <c r="R36" s="198"/>
      <c r="S36" s="162"/>
    </row>
    <row r="37" spans="1:26" s="1" customFormat="1" ht="15" thickBot="1" x14ac:dyDescent="0.25">
      <c r="A37" s="14" t="s">
        <v>18</v>
      </c>
      <c r="B37" s="21">
        <v>0</v>
      </c>
      <c r="C37" s="15">
        <v>0</v>
      </c>
      <c r="D37" s="22">
        <f t="shared" si="4"/>
        <v>0</v>
      </c>
      <c r="E37" s="21">
        <f>COUNTIFS(DATA!$A$3:$A$7183,"NA",DATA!$D$3:$D$7183,260,DATA!$B$3:$B$7183,"M",DATA!$I$3:$I$7183,"D")</f>
        <v>0</v>
      </c>
      <c r="F37" s="15">
        <f>COUNTIFS(DATA!$A$3:$A$7183,"NA",DATA!$D$3:$D$7183,260,DATA!$B$3:$B$7183,"I",DATA!$I$3:$I$7183,"D")</f>
        <v>0</v>
      </c>
      <c r="G37" s="22">
        <f t="shared" si="5"/>
        <v>0</v>
      </c>
      <c r="H37" s="21">
        <f>COUNTIFS(DATA!$A$3:$A$7183,"NA",DATA!$D$3:$D$7183,260,DATA!$B$3:$B$7183,"M",DATA!$I$3:$I$7183,"u")</f>
        <v>0</v>
      </c>
      <c r="I37" s="15">
        <f>COUNTIFS(DATA!$A$3:$A$7183,"NA",DATA!$D$3:$D$7183,260,DATA!$B$3:$B$7183,"I",DATA!$I$3:$I$7183,"u")</f>
        <v>0</v>
      </c>
      <c r="J37" s="22">
        <f t="shared" si="6"/>
        <v>0</v>
      </c>
      <c r="K37" s="38">
        <f t="shared" si="7"/>
        <v>0</v>
      </c>
      <c r="L37" s="39">
        <f t="shared" si="8"/>
        <v>0</v>
      </c>
      <c r="M37" s="36">
        <f t="shared" si="9"/>
        <v>0</v>
      </c>
      <c r="N37" s="198"/>
      <c r="O37" s="198"/>
      <c r="P37" s="198"/>
      <c r="Q37" s="198"/>
      <c r="R37" s="198"/>
      <c r="S37" s="162"/>
    </row>
    <row r="38" spans="1:26" ht="15.75" thickBot="1" x14ac:dyDescent="0.3">
      <c r="A38" s="100" t="s">
        <v>16</v>
      </c>
      <c r="B38" s="101">
        <f>SUM(B25:B37)</f>
        <v>463</v>
      </c>
      <c r="C38" s="102">
        <f t="shared" ref="C38:G38" si="11">SUM(C25:C37)</f>
        <v>1475</v>
      </c>
      <c r="D38" s="103">
        <f t="shared" si="11"/>
        <v>1938</v>
      </c>
      <c r="E38" s="101">
        <f t="shared" si="11"/>
        <v>93</v>
      </c>
      <c r="F38" s="102">
        <f t="shared" si="11"/>
        <v>136</v>
      </c>
      <c r="G38" s="104">
        <f t="shared" si="11"/>
        <v>229</v>
      </c>
      <c r="H38" s="101">
        <f>SUM(H25:H37)</f>
        <v>47</v>
      </c>
      <c r="I38" s="102">
        <f>SUM(I25:I37)</f>
        <v>1</v>
      </c>
      <c r="J38" s="103">
        <f>SUM(J25:J37)</f>
        <v>48</v>
      </c>
      <c r="K38" s="105">
        <f t="shared" si="7"/>
        <v>0.22355769230769232</v>
      </c>
      <c r="L38" s="106">
        <f t="shared" si="8"/>
        <v>9.2265943012211665E-2</v>
      </c>
      <c r="M38" s="189">
        <f t="shared" si="9"/>
        <v>0.12116402116402117</v>
      </c>
      <c r="N38" s="180">
        <v>0.12</v>
      </c>
      <c r="O38" s="180">
        <v>0.15</v>
      </c>
      <c r="P38" s="180">
        <v>0.17</v>
      </c>
      <c r="Q38" s="180">
        <v>0.16</v>
      </c>
      <c r="R38" s="180">
        <v>0.16</v>
      </c>
      <c r="S38" s="180">
        <v>0.16</v>
      </c>
      <c r="T38" s="180">
        <v>0.15</v>
      </c>
      <c r="U38" s="180">
        <v>0.08</v>
      </c>
      <c r="V38" s="180">
        <v>0.2</v>
      </c>
      <c r="W38" s="180">
        <v>0.16</v>
      </c>
      <c r="X38" s="180">
        <v>0.25</v>
      </c>
      <c r="Z38" s="172"/>
    </row>
    <row r="39" spans="1:26" ht="18.75" customHeight="1" thickBot="1" x14ac:dyDescent="0.25">
      <c r="A39" s="10"/>
      <c r="B39" s="249" t="s">
        <v>35</v>
      </c>
      <c r="C39" s="250"/>
      <c r="D39" s="250"/>
      <c r="E39" s="250"/>
      <c r="F39" s="250"/>
      <c r="G39" s="250"/>
      <c r="H39" s="251"/>
      <c r="I39" s="251"/>
      <c r="J39" s="251"/>
      <c r="K39" s="250"/>
      <c r="L39" s="250"/>
      <c r="M39" s="252"/>
      <c r="O39" s="162"/>
      <c r="P39" s="162"/>
      <c r="Q39" s="162"/>
      <c r="R39" s="162"/>
      <c r="S39" s="162"/>
    </row>
    <row r="40" spans="1:26" ht="57.75" customHeight="1" x14ac:dyDescent="0.2">
      <c r="A40" s="11"/>
      <c r="B40" s="16" t="s">
        <v>19</v>
      </c>
      <c r="C40" s="17" t="s">
        <v>34</v>
      </c>
      <c r="D40" s="18" t="s">
        <v>22</v>
      </c>
      <c r="E40" s="16" t="s">
        <v>20</v>
      </c>
      <c r="F40" s="17" t="s">
        <v>21</v>
      </c>
      <c r="G40" s="23" t="s">
        <v>23</v>
      </c>
      <c r="H40" s="16" t="str">
        <f>+H24</f>
        <v>Surveys Undelivered Mail</v>
      </c>
      <c r="I40" s="17" t="str">
        <f>+I24</f>
        <v>Surveys Undelivered E-mail</v>
      </c>
      <c r="J40" s="23" t="str">
        <f>+J24</f>
        <v>Total Surveys Undelivered</v>
      </c>
      <c r="K40" s="16" t="s">
        <v>24</v>
      </c>
      <c r="L40" s="17" t="s">
        <v>26</v>
      </c>
      <c r="M40" s="18" t="s">
        <v>25</v>
      </c>
      <c r="N40" s="199"/>
      <c r="O40" s="199"/>
      <c r="P40" s="199"/>
      <c r="Q40" s="199"/>
      <c r="R40" s="199"/>
      <c r="S40" s="162"/>
    </row>
    <row r="41" spans="1:26" x14ac:dyDescent="0.2">
      <c r="A41" s="12" t="s">
        <v>3</v>
      </c>
      <c r="B41" s="42">
        <f t="shared" ref="B41:B52" si="12">+E2</f>
        <v>53</v>
      </c>
      <c r="C41" s="9">
        <f t="shared" ref="C41:C52" si="13">+F2</f>
        <v>102</v>
      </c>
      <c r="D41" s="20">
        <f>+B41+C41</f>
        <v>155</v>
      </c>
      <c r="E41" s="42">
        <f>COUNTIFS(DATA!$A$3:$A$7183,1021,DATA!$D$3:$D$7183,280,DATA!$B$3:$B$7183,"M",DATA!$I$3:$I$7183,"D")</f>
        <v>3</v>
      </c>
      <c r="F41" s="9">
        <f>COUNTIFS(DATA!$A$3:$A$7183,1021,DATA!$D$3:$D$7183,280,DATA!$B$3:$B$7183,"I",DATA!$I$3:$I$7183,"D")</f>
        <v>6</v>
      </c>
      <c r="G41" s="20">
        <f>+E41+F41</f>
        <v>9</v>
      </c>
      <c r="H41" s="42">
        <f>COUNTIFS(DATA!$A$3:$A$7183,1021,DATA!$D$3:$D$7183,280,DATA!$B$3:$B$7183,"M",DATA!$I$3:$I$7183,"U")</f>
        <v>6</v>
      </c>
      <c r="I41" s="9">
        <f>COUNTIFS(DATA!$A$3:$A$7183,1021,DATA!$D$3:$D$7183,280,DATA!$B$3:$B$7183,"I",DATA!$I$3:$I$7183,"u")</f>
        <v>0</v>
      </c>
      <c r="J41" s="20">
        <f>+H41+I41</f>
        <v>6</v>
      </c>
      <c r="K41" s="38">
        <f>IF(B41=0,0,+E41/(+B41-H41))</f>
        <v>6.3829787234042548E-2</v>
      </c>
      <c r="L41" s="39">
        <f>IF(C41=0,0,+F41/(+C41-I41))</f>
        <v>5.8823529411764705E-2</v>
      </c>
      <c r="M41" s="36">
        <f>IF(D41=0,0,+G41/(+D41-J41))</f>
        <v>6.0402684563758392E-2</v>
      </c>
      <c r="N41" s="198"/>
      <c r="O41" s="198"/>
      <c r="P41" s="198"/>
      <c r="Q41" s="198"/>
      <c r="R41" s="198"/>
      <c r="S41" s="162"/>
    </row>
    <row r="42" spans="1:26" x14ac:dyDescent="0.2">
      <c r="A42" s="12" t="s">
        <v>4</v>
      </c>
      <c r="B42" s="42">
        <f t="shared" si="12"/>
        <v>33</v>
      </c>
      <c r="C42" s="9">
        <f t="shared" si="13"/>
        <v>73</v>
      </c>
      <c r="D42" s="20">
        <f t="shared" ref="D42:D53" si="14">+B42+C42</f>
        <v>106</v>
      </c>
      <c r="E42" s="42">
        <f>COUNTIFS(DATA!$A$3:$A$7183,1121,DATA!$D$3:$D$7183,280,DATA!$B$3:$B$7183,"M",DATA!$I$3:$I$7183,"D")</f>
        <v>3</v>
      </c>
      <c r="F42" s="9">
        <f>COUNTIFS(DATA!$A$3:$A$7183,1121,DATA!$D$3:$D$7183,280,DATA!$B$3:$B$7183,"I",DATA!$I$3:$I$7183,"D")</f>
        <v>2</v>
      </c>
      <c r="G42" s="20">
        <f t="shared" ref="G42:G53" si="15">+E42+F42</f>
        <v>5</v>
      </c>
      <c r="H42" s="42">
        <f>COUNTIFS(DATA!$A$3:$A$7183,1121,DATA!$D$3:$D$7183,280,DATA!$B$3:$B$7183,"M",DATA!$I$3:$I$7183,"U")</f>
        <v>5</v>
      </c>
      <c r="I42" s="9">
        <f>COUNTIFS(DATA!$A$3:$A$7183,1121,DATA!$D$3:$D$7183,280,DATA!$B$3:$B$7183,"I",DATA!$I$3:$I$7183,"u")</f>
        <v>0</v>
      </c>
      <c r="J42" s="20">
        <f t="shared" ref="J42:J53" si="16">+H42+I42</f>
        <v>5</v>
      </c>
      <c r="K42" s="38">
        <f t="shared" ref="K42:K54" si="17">IF(B42=0,0,+E42/(+B42-H42))</f>
        <v>0.10714285714285714</v>
      </c>
      <c r="L42" s="39">
        <f t="shared" ref="L42:L54" si="18">IF(C42=0,0,+F42/(+C42-I42))</f>
        <v>2.7397260273972601E-2</v>
      </c>
      <c r="M42" s="36">
        <f t="shared" ref="M42:M54" si="19">IF(D42=0,0,+G42/(+D42-J42))</f>
        <v>4.9504950495049507E-2</v>
      </c>
      <c r="N42" s="198"/>
      <c r="O42" s="198"/>
      <c r="P42" s="198"/>
      <c r="Q42" s="198"/>
      <c r="R42" s="198"/>
      <c r="S42" s="162"/>
    </row>
    <row r="43" spans="1:26" x14ac:dyDescent="0.2">
      <c r="A43" s="12" t="s">
        <v>5</v>
      </c>
      <c r="B43" s="42">
        <f t="shared" si="12"/>
        <v>45</v>
      </c>
      <c r="C43" s="9">
        <f t="shared" si="13"/>
        <v>110</v>
      </c>
      <c r="D43" s="20">
        <f t="shared" si="14"/>
        <v>155</v>
      </c>
      <c r="E43" s="42">
        <f>COUNTIFS(DATA!$A$3:$A$7183,1221,DATA!$D$3:$D$7183,280,DATA!$B$3:$B$7183,"M",DATA!$I$3:$I$7183,"D")</f>
        <v>0</v>
      </c>
      <c r="F43" s="9">
        <f>COUNTIFS(DATA!$A$3:$A$7183,1221,DATA!$D$3:$D$7183,280,DATA!$B$3:$B$7183,"I",DATA!$I$3:$I$7183,"D")</f>
        <v>8</v>
      </c>
      <c r="G43" s="20">
        <f t="shared" si="15"/>
        <v>8</v>
      </c>
      <c r="H43" s="42">
        <f>COUNTIFS(DATA!$A$3:$A$7183,1221,DATA!$D$3:$D$7183,280,DATA!$B$3:$B$7183,"M",DATA!$I$3:$I$7183,"u")</f>
        <v>10</v>
      </c>
      <c r="I43" s="9">
        <f>COUNTIFS(DATA!$A$3:$A$7183,1221,DATA!$D$3:$D$7183,280,DATA!$B$3:$B$7183,"I",DATA!$I$3:$I$7183,"u")</f>
        <v>0</v>
      </c>
      <c r="J43" s="20">
        <f t="shared" si="16"/>
        <v>10</v>
      </c>
      <c r="K43" s="38">
        <f t="shared" si="17"/>
        <v>0</v>
      </c>
      <c r="L43" s="39">
        <f t="shared" si="18"/>
        <v>7.2727272727272724E-2</v>
      </c>
      <c r="M43" s="36">
        <f t="shared" si="19"/>
        <v>5.5172413793103448E-2</v>
      </c>
      <c r="N43" s="198"/>
      <c r="O43" s="198"/>
      <c r="P43" s="198"/>
      <c r="Q43" s="198"/>
      <c r="R43" s="198"/>
      <c r="S43" s="162"/>
    </row>
    <row r="44" spans="1:26" x14ac:dyDescent="0.2">
      <c r="A44" s="12" t="s">
        <v>6</v>
      </c>
      <c r="B44" s="42">
        <f t="shared" si="12"/>
        <v>57</v>
      </c>
      <c r="C44" s="9">
        <f t="shared" si="13"/>
        <v>101</v>
      </c>
      <c r="D44" s="20">
        <f t="shared" si="14"/>
        <v>158</v>
      </c>
      <c r="E44" s="42">
        <f>COUNTIFS(DATA!$A$3:$A$7183,122,DATA!$D$3:$D$7183,280,DATA!$B$3:$B$7183,"M",DATA!$I$3:$I$7183,"D")</f>
        <v>5</v>
      </c>
      <c r="F44" s="9">
        <f>COUNTIFS(DATA!$A$3:$A$7183,122,DATA!$D$3:$D$7183,280,DATA!$B$3:$B$7183,"I",DATA!$I$3:$I$7183,"D")</f>
        <v>6</v>
      </c>
      <c r="G44" s="20">
        <f t="shared" si="15"/>
        <v>11</v>
      </c>
      <c r="H44" s="42">
        <f>COUNTIFS(DATA!$A$3:$A$7183,122,DATA!$D$3:$D$7183,280,DATA!$B$3:$B$7183,"M",DATA!$I$3:$I$7183,"u")</f>
        <v>3</v>
      </c>
      <c r="I44" s="9">
        <f>COUNTIFS(DATA!$A$3:$A$7183,122,DATA!$D$3:$D$7183,280,DATA!$B$3:$B$7183,"I",DATA!$I$3:$I$7183,"u")</f>
        <v>0</v>
      </c>
      <c r="J44" s="20">
        <f t="shared" si="16"/>
        <v>3</v>
      </c>
      <c r="K44" s="38">
        <f t="shared" si="17"/>
        <v>9.2592592592592587E-2</v>
      </c>
      <c r="L44" s="39">
        <f t="shared" si="18"/>
        <v>5.9405940594059403E-2</v>
      </c>
      <c r="M44" s="36">
        <f t="shared" si="19"/>
        <v>7.0967741935483872E-2</v>
      </c>
      <c r="N44" s="198"/>
      <c r="O44" s="198"/>
      <c r="P44" s="198"/>
      <c r="Q44" s="198"/>
      <c r="R44" s="198"/>
      <c r="S44" s="162"/>
    </row>
    <row r="45" spans="1:26" x14ac:dyDescent="0.2">
      <c r="A45" s="12" t="s">
        <v>7</v>
      </c>
      <c r="B45" s="42">
        <f t="shared" si="12"/>
        <v>29</v>
      </c>
      <c r="C45" s="9">
        <f t="shared" si="13"/>
        <v>119</v>
      </c>
      <c r="D45" s="20">
        <f t="shared" si="14"/>
        <v>148</v>
      </c>
      <c r="E45" s="42">
        <f>COUNTIFS(DATA!$A$3:$A$7183,222,DATA!$D$3:$D$7183,280,DATA!$B$3:$B$7183,"M",DATA!$I$3:$I$7183,"D")</f>
        <v>0</v>
      </c>
      <c r="F45" s="9">
        <f>COUNTIFS(DATA!$A$3:$A$7183,222,DATA!$D$3:$D$7183,280,DATA!$B$3:$B$7183,"I",DATA!$I$3:$I$7183,"D")</f>
        <v>5</v>
      </c>
      <c r="G45" s="20">
        <f t="shared" si="15"/>
        <v>5</v>
      </c>
      <c r="H45" s="42">
        <f>COUNTIFS(DATA!$A$3:$A$7183,222,DATA!$D$3:$D$7183,280,DATA!$B$3:$B$7183,"M",DATA!$I$3:$I$7183,"u")</f>
        <v>3</v>
      </c>
      <c r="I45" s="9">
        <f>COUNTIFS(DATA!$A$3:$A$7183,122,DATA!$D$3:$D$7183,280,DATA!$B$3:$B$7183,"I",DATA!$I$3:$I$7183,"u")</f>
        <v>0</v>
      </c>
      <c r="J45" s="20">
        <f t="shared" si="16"/>
        <v>3</v>
      </c>
      <c r="K45" s="38">
        <f t="shared" si="17"/>
        <v>0</v>
      </c>
      <c r="L45" s="39">
        <f t="shared" si="18"/>
        <v>4.2016806722689079E-2</v>
      </c>
      <c r="M45" s="36">
        <f t="shared" si="19"/>
        <v>3.4482758620689655E-2</v>
      </c>
      <c r="N45" s="198"/>
      <c r="O45" s="198"/>
      <c r="P45" s="198"/>
      <c r="Q45" s="198"/>
      <c r="R45" s="198"/>
      <c r="S45" s="162"/>
    </row>
    <row r="46" spans="1:26" x14ac:dyDescent="0.2">
      <c r="A46" s="12" t="s">
        <v>8</v>
      </c>
      <c r="B46" s="42">
        <f t="shared" ref="B46" si="20">+E7</f>
        <v>55</v>
      </c>
      <c r="C46" s="9">
        <f t="shared" ref="C46" si="21">+F7</f>
        <v>123</v>
      </c>
      <c r="D46" s="20">
        <f t="shared" ref="D46" si="22">+B46+C46</f>
        <v>178</v>
      </c>
      <c r="E46" s="42">
        <f>COUNTIFS(DATA!$A$3:$A$7183,322,DATA!$D$3:$D$7183,280,DATA!$B$3:$B$7183,"M",DATA!$I$3:$I$7183,"D")</f>
        <v>4</v>
      </c>
      <c r="F46" s="9">
        <f>COUNTIFS(DATA!$A$3:$A$7183,322,DATA!$D$3:$D$7183,280,DATA!$B$3:$B$7183,"I",DATA!$I$3:$I$7183,"D")</f>
        <v>0</v>
      </c>
      <c r="G46" s="20">
        <f t="shared" si="15"/>
        <v>4</v>
      </c>
      <c r="H46" s="42">
        <f>COUNTIFS(DATA!$A$3:$A$7183,322,DATA!$D$3:$D$7183,280,DATA!$B$3:$B$7183,"M",DATA!$I$3:$I$7183,"u")</f>
        <v>14</v>
      </c>
      <c r="I46" s="9">
        <f>COUNTIFS(DATA!$A$3:$A$7183,322,DATA!$D$3:$D$7183,280,DATA!$B$3:$B$7183,"I",DATA!$I$3:$I$7183,"u")</f>
        <v>0</v>
      </c>
      <c r="J46" s="20">
        <f t="shared" si="16"/>
        <v>14</v>
      </c>
      <c r="K46" s="38">
        <f t="shared" si="17"/>
        <v>9.7560975609756101E-2</v>
      </c>
      <c r="L46" s="39">
        <f t="shared" si="18"/>
        <v>0</v>
      </c>
      <c r="M46" s="36">
        <f t="shared" si="19"/>
        <v>2.4390243902439025E-2</v>
      </c>
      <c r="N46" s="198"/>
      <c r="O46" s="198"/>
      <c r="P46" s="198"/>
      <c r="Q46" s="198"/>
      <c r="R46" s="198"/>
      <c r="S46" s="162"/>
    </row>
    <row r="47" spans="1:26" x14ac:dyDescent="0.2">
      <c r="A47" s="12" t="s">
        <v>9</v>
      </c>
      <c r="B47" s="42">
        <f t="shared" si="12"/>
        <v>46</v>
      </c>
      <c r="C47" s="9">
        <f t="shared" si="13"/>
        <v>110</v>
      </c>
      <c r="D47" s="20">
        <f t="shared" si="14"/>
        <v>156</v>
      </c>
      <c r="E47" s="42">
        <f>COUNTIFS(DATA!$A$3:$A$7183,422,DATA!$D$3:$D$7183,280,DATA!$B$3:$B$7183,"M",DATA!$I$3:$I$7183,"D")</f>
        <v>4</v>
      </c>
      <c r="F47" s="9">
        <f>COUNTIFS(DATA!$A$3:$A$7183,422,DATA!$D$3:$D$7183,280,DATA!$B$3:$B$7183,"I",DATA!$I$3:$I$7183,"D")</f>
        <v>11</v>
      </c>
      <c r="G47" s="20">
        <f t="shared" si="15"/>
        <v>15</v>
      </c>
      <c r="H47" s="42">
        <f>COUNTIFS(DATA!$A$3:$A$7183,422,DATA!$D$3:$D$7183,280,DATA!$B$3:$B$7183,"M",DATA!$I$3:$I$7183,"u")</f>
        <v>10</v>
      </c>
      <c r="I47" s="9">
        <f>COUNTIFS(DATA!$A$3:$A$7183,422,DATA!$D$3:$D$7183,280,DATA!$B$3:$B$7183,"I",DATA!$I$3:$I$7183,"u")</f>
        <v>0</v>
      </c>
      <c r="J47" s="20">
        <f t="shared" si="16"/>
        <v>10</v>
      </c>
      <c r="K47" s="38">
        <f t="shared" si="17"/>
        <v>0.1111111111111111</v>
      </c>
      <c r="L47" s="39">
        <f t="shared" si="18"/>
        <v>0.1</v>
      </c>
      <c r="M47" s="36">
        <f t="shared" si="19"/>
        <v>0.10273972602739725</v>
      </c>
      <c r="N47" s="198"/>
      <c r="O47" s="198"/>
      <c r="P47" s="198"/>
      <c r="Q47" s="198"/>
      <c r="R47" s="198"/>
      <c r="S47" s="162"/>
    </row>
    <row r="48" spans="1:26" x14ac:dyDescent="0.2">
      <c r="A48" s="12" t="s">
        <v>10</v>
      </c>
      <c r="B48" s="42">
        <f t="shared" si="12"/>
        <v>43</v>
      </c>
      <c r="C48" s="9">
        <f t="shared" si="13"/>
        <v>109</v>
      </c>
      <c r="D48" s="20">
        <f t="shared" si="14"/>
        <v>152</v>
      </c>
      <c r="E48" s="42">
        <f>COUNTIFS(DATA!$A$3:$A$7183,522,DATA!$D$3:$D$7183,280,DATA!$B$3:$B$7183,"M",DATA!$I$3:$I$7183,"D")</f>
        <v>1</v>
      </c>
      <c r="F48" s="9">
        <f>COUNTIFS(DATA!$A$3:$A$7183,522,DATA!$D$3:$D$7183,280,DATA!$B$3:$B$7183,"I",DATA!$I$3:$I$7183,"D")</f>
        <v>7</v>
      </c>
      <c r="G48" s="20">
        <f t="shared" si="15"/>
        <v>8</v>
      </c>
      <c r="H48" s="42">
        <f>COUNTIFS(DATA!$A$3:$A$7183,522,DATA!$D$3:$D$7183,280,DATA!$B$3:$B$7183,"M",DATA!$I$3:$I$7183,"u")</f>
        <v>7</v>
      </c>
      <c r="I48" s="9">
        <f>COUNTIFS(DATA!$A$3:$A$7183,522,DATA!$D$3:$D$7183,280,DATA!$B$3:$B$7183,"I",DATA!$I$3:$I$7183,"u")</f>
        <v>0</v>
      </c>
      <c r="J48" s="20">
        <f t="shared" si="16"/>
        <v>7</v>
      </c>
      <c r="K48" s="38">
        <f t="shared" si="17"/>
        <v>2.7777777777777776E-2</v>
      </c>
      <c r="L48" s="39">
        <f t="shared" si="18"/>
        <v>6.4220183486238536E-2</v>
      </c>
      <c r="M48" s="36">
        <f t="shared" si="19"/>
        <v>5.5172413793103448E-2</v>
      </c>
      <c r="N48" s="198"/>
      <c r="O48" s="198"/>
      <c r="P48" s="198"/>
      <c r="Q48" s="198"/>
      <c r="R48" s="198"/>
      <c r="S48" s="162"/>
    </row>
    <row r="49" spans="1:26" x14ac:dyDescent="0.2">
      <c r="A49" s="12" t="s">
        <v>11</v>
      </c>
      <c r="B49" s="42">
        <f t="shared" si="12"/>
        <v>51</v>
      </c>
      <c r="C49" s="9">
        <f t="shared" si="13"/>
        <v>129</v>
      </c>
      <c r="D49" s="20">
        <f t="shared" si="14"/>
        <v>180</v>
      </c>
      <c r="E49" s="42">
        <f>COUNTIFS(DATA!$A$3:$A$7183,622,DATA!$D$3:$D$7183,280,DATA!$B$3:$B$7183,"M",DATA!$I$3:$I$7183,"D")</f>
        <v>2</v>
      </c>
      <c r="F49" s="9">
        <f>COUNTIFS(DATA!$A$3:$A$7183,622,DATA!$D$3:$D$7183,280,DATA!$B$3:$B$7183,"I",DATA!$I$3:$I$7183,"D")</f>
        <v>7</v>
      </c>
      <c r="G49" s="20">
        <f t="shared" si="15"/>
        <v>9</v>
      </c>
      <c r="H49" s="42">
        <f>COUNTIFS(DATA!$A$3:$A$7183,622,DATA!$D$3:$D$7183,280,DATA!$B$3:$B$7183,"M",DATA!$I$3:$I$7183,"u")</f>
        <v>9</v>
      </c>
      <c r="I49" s="9">
        <f>COUNTIFS(DATA!$A$3:$A$7183,622,DATA!$D$3:$D$7183,280,DATA!$B$3:$B$7183,"I",DATA!$I$3:$I$7183,"u")</f>
        <v>0</v>
      </c>
      <c r="J49" s="20">
        <f t="shared" si="16"/>
        <v>9</v>
      </c>
      <c r="K49" s="38">
        <f t="shared" si="17"/>
        <v>4.7619047619047616E-2</v>
      </c>
      <c r="L49" s="39">
        <f t="shared" si="18"/>
        <v>5.4263565891472867E-2</v>
      </c>
      <c r="M49" s="36">
        <f t="shared" si="19"/>
        <v>5.2631578947368418E-2</v>
      </c>
      <c r="N49" s="198"/>
      <c r="O49" s="198"/>
      <c r="P49" s="198"/>
      <c r="Q49" s="198"/>
      <c r="R49" s="198"/>
      <c r="S49" s="162"/>
    </row>
    <row r="50" spans="1:26" x14ac:dyDescent="0.2">
      <c r="A50" s="12" t="s">
        <v>12</v>
      </c>
      <c r="B50" s="42">
        <f t="shared" si="12"/>
        <v>46</v>
      </c>
      <c r="C50" s="9">
        <f t="shared" si="13"/>
        <v>120</v>
      </c>
      <c r="D50" s="20">
        <f t="shared" si="14"/>
        <v>166</v>
      </c>
      <c r="E50" s="42">
        <f>COUNTIFS(DATA!$A$3:$A$7183,722,DATA!$D$3:$D$7183,280,DATA!$B$3:$B$7183,"M",DATA!$I$3:$I$7183,"D")</f>
        <v>3</v>
      </c>
      <c r="F50" s="9">
        <f>COUNTIFS(DATA!$A$3:$A$7183,722,DATA!$D$3:$D$7183,280,DATA!$B$3:$B$7183,"I",DATA!$I$3:$I$7183,"D")</f>
        <v>5</v>
      </c>
      <c r="G50" s="20">
        <f t="shared" si="15"/>
        <v>8</v>
      </c>
      <c r="H50" s="42">
        <f>COUNTIFS(DATA!$A$3:$A$7183,722,DATA!$D$3:$D$7183,280,DATA!$B$3:$B$7183,"M",DATA!$I$3:$I$7183,"u")</f>
        <v>9</v>
      </c>
      <c r="I50" s="9">
        <f>COUNTIFS(DATA!$A$3:$A$7183,722,DATA!$D$3:$D$7183,280,DATA!$B$3:$B$7183,"I",DATA!$I$3:$I$7183,"u")</f>
        <v>0</v>
      </c>
      <c r="J50" s="20">
        <f t="shared" si="16"/>
        <v>9</v>
      </c>
      <c r="K50" s="38">
        <f t="shared" si="17"/>
        <v>8.1081081081081086E-2</v>
      </c>
      <c r="L50" s="39">
        <f t="shared" si="18"/>
        <v>4.1666666666666664E-2</v>
      </c>
      <c r="M50" s="36">
        <f t="shared" si="19"/>
        <v>5.0955414012738856E-2</v>
      </c>
      <c r="N50" s="198"/>
      <c r="O50" s="198"/>
      <c r="P50" s="198"/>
      <c r="Q50" s="198"/>
      <c r="R50" s="198"/>
      <c r="S50" s="162"/>
    </row>
    <row r="51" spans="1:26" x14ac:dyDescent="0.2">
      <c r="A51" s="12" t="s">
        <v>13</v>
      </c>
      <c r="B51" s="42">
        <f t="shared" si="12"/>
        <v>32</v>
      </c>
      <c r="C51" s="9">
        <f t="shared" si="13"/>
        <v>110</v>
      </c>
      <c r="D51" s="20">
        <f t="shared" si="14"/>
        <v>142</v>
      </c>
      <c r="E51" s="42">
        <f>COUNTIFS(DATA!$A$3:$A$7183,822,DATA!$D$3:$D$7183,280,DATA!$B$3:$B$7183,"M",DATA!$I$3:$I$7183,"D")</f>
        <v>3</v>
      </c>
      <c r="F51" s="9">
        <f>COUNTIFS(DATA!$A$3:$A$7183,822,DATA!$D$3:$D$7183,280,DATA!$B$3:$B$7183,"I",DATA!$I$3:$I$7183,"D")</f>
        <v>6</v>
      </c>
      <c r="G51" s="20">
        <f t="shared" si="15"/>
        <v>9</v>
      </c>
      <c r="H51" s="42">
        <f>COUNTIFS(DATA!$A$3:$A$7183,822,DATA!$D$3:$D$7183,280,DATA!$B$3:$B$7183,"M",DATA!$I$3:$I$7183,"u")</f>
        <v>4</v>
      </c>
      <c r="I51" s="9">
        <f>COUNTIFS(DATA!$A$3:$A$7183,822,DATA!$D$3:$D$7183,280,DATA!$B$3:$B$7183,"I",DATA!$I$3:$I$7183,"u")</f>
        <v>0</v>
      </c>
      <c r="J51" s="20">
        <f t="shared" si="16"/>
        <v>4</v>
      </c>
      <c r="K51" s="38">
        <f t="shared" si="17"/>
        <v>0.10714285714285714</v>
      </c>
      <c r="L51" s="39">
        <f t="shared" si="18"/>
        <v>5.4545454545454543E-2</v>
      </c>
      <c r="M51" s="36">
        <f t="shared" si="19"/>
        <v>6.5217391304347824E-2</v>
      </c>
      <c r="N51" s="198"/>
      <c r="O51" s="198"/>
      <c r="P51" s="198"/>
      <c r="Q51" s="198"/>
      <c r="R51" s="198"/>
      <c r="S51" s="162"/>
    </row>
    <row r="52" spans="1:26" x14ac:dyDescent="0.2">
      <c r="A52" s="12" t="s">
        <v>14</v>
      </c>
      <c r="B52" s="42">
        <f t="shared" si="12"/>
        <v>38</v>
      </c>
      <c r="C52" s="9">
        <f t="shared" si="13"/>
        <v>111</v>
      </c>
      <c r="D52" s="20">
        <f t="shared" si="14"/>
        <v>149</v>
      </c>
      <c r="E52" s="42">
        <f>COUNTIFS(DATA!$A$3:$A$7183,922,DATA!$D$3:$D$7183,280,DATA!$B$3:$B$7183,"M",DATA!$I$3:$I$7183,"D")</f>
        <v>5</v>
      </c>
      <c r="F52" s="9">
        <f>COUNTIFS(DATA!$A$3:$A$7183,922,DATA!$D$3:$D$7183,280,DATA!$B$3:$B$7183,"I",DATA!$I$3:$I$7183,"D")</f>
        <v>1</v>
      </c>
      <c r="G52" s="20">
        <f t="shared" si="15"/>
        <v>6</v>
      </c>
      <c r="H52" s="42">
        <f>COUNTIFS(DATA!$A$3:$A$7183,922,DATA!$D$3:$D$7183,280,DATA!$B$3:$B$7183,"M",DATA!$I$3:$I$7183,"u")</f>
        <v>6</v>
      </c>
      <c r="I52" s="9">
        <f>COUNTIFS(DATA!$A$3:$A$7183,922,DATA!$D$3:$D$7183,280,DATA!$B$3:$B$7183,"I",DATA!$I$3:$I$7183,"u")</f>
        <v>0</v>
      </c>
      <c r="J52" s="20">
        <f t="shared" si="16"/>
        <v>6</v>
      </c>
      <c r="K52" s="38">
        <f t="shared" si="17"/>
        <v>0.15625</v>
      </c>
      <c r="L52" s="39">
        <f t="shared" si="18"/>
        <v>9.0090090090090089E-3</v>
      </c>
      <c r="M52" s="36">
        <f t="shared" si="19"/>
        <v>4.195804195804196E-2</v>
      </c>
      <c r="N52" s="198"/>
      <c r="O52" s="198"/>
      <c r="P52" s="198"/>
      <c r="Q52" s="198"/>
      <c r="R52" s="198"/>
      <c r="S52" s="162"/>
    </row>
    <row r="53" spans="1:26" ht="15" thickBot="1" x14ac:dyDescent="0.25">
      <c r="A53" s="14" t="s">
        <v>18</v>
      </c>
      <c r="B53" s="42">
        <v>0</v>
      </c>
      <c r="C53" s="15">
        <v>0</v>
      </c>
      <c r="D53" s="22">
        <f t="shared" si="14"/>
        <v>0</v>
      </c>
      <c r="E53" s="21">
        <f>COUNTIFS(DATA!$A$3:$A$7183,"NA",DATA!$D$3:$D$7183,280,DATA!$B$3:$B$7183,"M",DATA!$I$3:$I$7183,"D")</f>
        <v>0</v>
      </c>
      <c r="F53" s="15">
        <f>COUNTIFS(DATA!$A$3:$A$7183,"NA",DATA!$D$3:$D$7183,280,DATA!$B$3:$B$7183,"I",DATA!$I$3:$I$7183,"D")</f>
        <v>0</v>
      </c>
      <c r="G53" s="22">
        <f t="shared" si="15"/>
        <v>0</v>
      </c>
      <c r="H53" s="42">
        <f>COUNTIFS(DATA!$A$3:$A$7183,"NA",DATA!$D$3:$D$7183,280,DATA!$B$3:$B$7183,"M",DATA!$I$3:$I$7183,"u")</f>
        <v>0</v>
      </c>
      <c r="I53" s="9">
        <f>COUNTIFS(DATA!$A$3:$A$7183,"NA",DATA!$D$3:$D$7183,280,DATA!$B$3:$B$7183,"I",DATA!$I$3:$I$7183,"u")</f>
        <v>0</v>
      </c>
      <c r="J53" s="22">
        <f t="shared" si="16"/>
        <v>0</v>
      </c>
      <c r="K53" s="38">
        <f t="shared" si="17"/>
        <v>0</v>
      </c>
      <c r="L53" s="39">
        <f t="shared" si="18"/>
        <v>0</v>
      </c>
      <c r="M53" s="36">
        <f t="shared" si="19"/>
        <v>0</v>
      </c>
      <c r="N53" s="198"/>
      <c r="O53" s="198"/>
      <c r="P53" s="198"/>
      <c r="Q53" s="198"/>
      <c r="R53" s="198"/>
      <c r="S53" s="162"/>
    </row>
    <row r="54" spans="1:26" ht="15.75" thickBot="1" x14ac:dyDescent="0.3">
      <c r="A54" s="100" t="s">
        <v>16</v>
      </c>
      <c r="B54" s="101">
        <f>SUM(B41:B53)</f>
        <v>528</v>
      </c>
      <c r="C54" s="102">
        <f t="shared" ref="C54" si="23">SUM(C41:C53)</f>
        <v>1317</v>
      </c>
      <c r="D54" s="103">
        <f t="shared" ref="D54" si="24">SUM(D41:D53)</f>
        <v>1845</v>
      </c>
      <c r="E54" s="101">
        <f t="shared" ref="E54" si="25">SUM(E41:E53)</f>
        <v>33</v>
      </c>
      <c r="F54" s="102">
        <f t="shared" ref="F54" si="26">SUM(F41:F53)</f>
        <v>64</v>
      </c>
      <c r="G54" s="103">
        <f t="shared" ref="G54" si="27">SUM(G41:G53)</f>
        <v>97</v>
      </c>
      <c r="H54" s="101">
        <f>SUM(H41:H53)</f>
        <v>86</v>
      </c>
      <c r="I54" s="102">
        <f>SUM(I41:I53)</f>
        <v>0</v>
      </c>
      <c r="J54" s="103">
        <f>SUM(J41:J53)</f>
        <v>86</v>
      </c>
      <c r="K54" s="105">
        <f t="shared" si="17"/>
        <v>7.4660633484162894E-2</v>
      </c>
      <c r="L54" s="106">
        <f t="shared" si="18"/>
        <v>4.8595292331055431E-2</v>
      </c>
      <c r="M54" s="189">
        <f t="shared" si="19"/>
        <v>5.5144968732234227E-2</v>
      </c>
      <c r="N54" s="180">
        <v>0.06</v>
      </c>
      <c r="O54" s="180">
        <v>0.08</v>
      </c>
      <c r="P54" s="180">
        <v>0.08</v>
      </c>
      <c r="Q54" s="180">
        <v>7.0000000000000007E-2</v>
      </c>
      <c r="R54" s="180">
        <v>0.08</v>
      </c>
      <c r="S54" s="180">
        <v>0.08</v>
      </c>
      <c r="T54" s="180">
        <v>7.0000000000000007E-2</v>
      </c>
      <c r="U54" s="180">
        <v>0.04</v>
      </c>
      <c r="V54" s="180">
        <v>0.12</v>
      </c>
      <c r="W54" s="180">
        <v>0.08</v>
      </c>
      <c r="X54" s="180">
        <v>0.15</v>
      </c>
      <c r="Y54" s="162"/>
      <c r="Z54" s="172"/>
    </row>
    <row r="55" spans="1:26" ht="18.75" customHeight="1" thickBot="1" x14ac:dyDescent="0.25">
      <c r="A55" s="10"/>
      <c r="B55" s="253" t="s">
        <v>36</v>
      </c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5"/>
      <c r="O55" s="162"/>
      <c r="P55" s="162"/>
      <c r="Q55" s="162"/>
      <c r="R55" s="162"/>
      <c r="T55" s="172"/>
      <c r="U55" s="172"/>
      <c r="V55" s="172"/>
      <c r="W55" s="172"/>
      <c r="X55" s="172"/>
    </row>
    <row r="56" spans="1:26" ht="42.75" x14ac:dyDescent="0.2">
      <c r="A56" s="11"/>
      <c r="B56" s="47" t="s">
        <v>19</v>
      </c>
      <c r="C56" s="48" t="s">
        <v>34</v>
      </c>
      <c r="D56" s="44" t="s">
        <v>22</v>
      </c>
      <c r="E56" s="47" t="s">
        <v>20</v>
      </c>
      <c r="F56" s="48" t="s">
        <v>21</v>
      </c>
      <c r="G56" s="49" t="s">
        <v>23</v>
      </c>
      <c r="H56" s="16" t="str">
        <f>+H40</f>
        <v>Surveys Undelivered Mail</v>
      </c>
      <c r="I56" s="17" t="str">
        <f>+I40</f>
        <v>Surveys Undelivered E-mail</v>
      </c>
      <c r="J56" s="23" t="str">
        <f>+J40</f>
        <v>Total Surveys Undelivered</v>
      </c>
      <c r="K56" s="47" t="s">
        <v>24</v>
      </c>
      <c r="L56" s="48" t="s">
        <v>26</v>
      </c>
      <c r="M56" s="44" t="s">
        <v>25</v>
      </c>
      <c r="N56" s="199"/>
      <c r="O56" s="199"/>
      <c r="P56" s="199"/>
      <c r="Q56" s="199"/>
      <c r="R56" s="162"/>
      <c r="T56" s="172"/>
      <c r="U56" s="172"/>
      <c r="V56" s="172"/>
      <c r="W56" s="172"/>
      <c r="X56" s="172"/>
    </row>
    <row r="57" spans="1:26" x14ac:dyDescent="0.2">
      <c r="A57" s="12" t="s">
        <v>3</v>
      </c>
      <c r="B57" s="19">
        <f>+B41+B25</f>
        <v>99</v>
      </c>
      <c r="C57" s="9">
        <f>+C41+C25</f>
        <v>207</v>
      </c>
      <c r="D57" s="20">
        <f>+B57+C57</f>
        <v>306</v>
      </c>
      <c r="E57" s="19">
        <f>+E41+E25</f>
        <v>13</v>
      </c>
      <c r="F57" s="9">
        <f>+F41+F25</f>
        <v>13</v>
      </c>
      <c r="G57" s="20">
        <f>+E57+F57</f>
        <v>26</v>
      </c>
      <c r="H57" s="42">
        <f>+H41+H25</f>
        <v>9</v>
      </c>
      <c r="I57" s="9">
        <f>+I41+I25</f>
        <v>1</v>
      </c>
      <c r="J57" s="20">
        <f>+H57+I57</f>
        <v>10</v>
      </c>
      <c r="K57" s="38">
        <f>IF(B57=0,0,+E57/(+B57-H57))</f>
        <v>0.14444444444444443</v>
      </c>
      <c r="L57" s="39">
        <f>IF(C57=0,0,+F57/(+C57-I57))</f>
        <v>6.3106796116504854E-2</v>
      </c>
      <c r="M57" s="36">
        <f>IF(D57=0,0,+G57/(+D57-J57))</f>
        <v>8.7837837837837843E-2</v>
      </c>
      <c r="N57" s="198"/>
      <c r="O57" s="198"/>
      <c r="P57" s="198"/>
      <c r="Q57" s="198"/>
      <c r="R57" s="162"/>
      <c r="T57" s="172"/>
      <c r="U57" s="172"/>
      <c r="V57" s="172"/>
      <c r="W57" s="172"/>
      <c r="X57" s="172"/>
    </row>
    <row r="58" spans="1:26" x14ac:dyDescent="0.2">
      <c r="A58" s="12" t="s">
        <v>4</v>
      </c>
      <c r="B58" s="19">
        <f t="shared" ref="B58:C68" si="28">+B42+B26</f>
        <v>66</v>
      </c>
      <c r="C58" s="9">
        <f t="shared" si="28"/>
        <v>159</v>
      </c>
      <c r="D58" s="20">
        <f t="shared" ref="D58:D69" si="29">+B58+C58</f>
        <v>225</v>
      </c>
      <c r="E58" s="19">
        <f t="shared" ref="E58:F58" si="30">+E42+E26</f>
        <v>8</v>
      </c>
      <c r="F58" s="9">
        <f t="shared" si="30"/>
        <v>10</v>
      </c>
      <c r="G58" s="20">
        <f t="shared" ref="G58:G69" si="31">+E58+F58</f>
        <v>18</v>
      </c>
      <c r="H58" s="42">
        <f t="shared" ref="H58:I58" si="32">+H42+H26</f>
        <v>6</v>
      </c>
      <c r="I58" s="9">
        <f t="shared" si="32"/>
        <v>0</v>
      </c>
      <c r="J58" s="20">
        <f t="shared" ref="J58:J69" si="33">+H58+I58</f>
        <v>6</v>
      </c>
      <c r="K58" s="38">
        <f t="shared" ref="K58:K70" si="34">IF(B58=0,0,+E58/(+B58-H58))</f>
        <v>0.13333333333333333</v>
      </c>
      <c r="L58" s="39">
        <f t="shared" ref="L58:L70" si="35">IF(C58=0,0,+F58/(+C58-I58))</f>
        <v>6.2893081761006289E-2</v>
      </c>
      <c r="M58" s="36">
        <f t="shared" ref="M58:M70" si="36">IF(D58=0,0,+G58/(+D58-J58))</f>
        <v>8.2191780821917804E-2</v>
      </c>
      <c r="N58" s="198"/>
      <c r="O58" s="198"/>
      <c r="P58" s="198"/>
      <c r="Q58" s="198"/>
      <c r="R58" s="162"/>
      <c r="T58" s="172"/>
      <c r="U58" s="172"/>
      <c r="V58" s="172"/>
      <c r="W58" s="172"/>
      <c r="X58" s="172"/>
    </row>
    <row r="59" spans="1:26" x14ac:dyDescent="0.2">
      <c r="A59" s="12" t="s">
        <v>5</v>
      </c>
      <c r="B59" s="19">
        <f t="shared" si="28"/>
        <v>85</v>
      </c>
      <c r="C59" s="9">
        <f t="shared" si="28"/>
        <v>264</v>
      </c>
      <c r="D59" s="20">
        <f t="shared" si="29"/>
        <v>349</v>
      </c>
      <c r="E59" s="19">
        <f t="shared" ref="E59:F59" si="37">+E43+E27</f>
        <v>4</v>
      </c>
      <c r="F59" s="9">
        <f t="shared" si="37"/>
        <v>28</v>
      </c>
      <c r="G59" s="20">
        <f t="shared" si="31"/>
        <v>32</v>
      </c>
      <c r="H59" s="42">
        <f t="shared" ref="H59:I59" si="38">+H43+H27</f>
        <v>12</v>
      </c>
      <c r="I59" s="9">
        <f t="shared" si="38"/>
        <v>0</v>
      </c>
      <c r="J59" s="20">
        <f t="shared" si="33"/>
        <v>12</v>
      </c>
      <c r="K59" s="38">
        <f t="shared" si="34"/>
        <v>5.4794520547945202E-2</v>
      </c>
      <c r="L59" s="39">
        <f t="shared" si="35"/>
        <v>0.10606060606060606</v>
      </c>
      <c r="M59" s="36">
        <f t="shared" si="36"/>
        <v>9.4955489614243327E-2</v>
      </c>
      <c r="N59" s="198"/>
      <c r="O59" s="198"/>
      <c r="P59" s="198"/>
      <c r="Q59" s="198"/>
      <c r="R59" s="162"/>
      <c r="T59" s="172"/>
      <c r="U59" s="172"/>
      <c r="V59" s="172"/>
      <c r="W59" s="172"/>
      <c r="X59" s="172"/>
    </row>
    <row r="60" spans="1:26" x14ac:dyDescent="0.2">
      <c r="A60" s="12" t="s">
        <v>6</v>
      </c>
      <c r="B60" s="19">
        <f t="shared" si="28"/>
        <v>108</v>
      </c>
      <c r="C60" s="9">
        <f t="shared" si="28"/>
        <v>215</v>
      </c>
      <c r="D60" s="20">
        <f t="shared" si="29"/>
        <v>323</v>
      </c>
      <c r="E60" s="19">
        <f t="shared" ref="E60:F60" si="39">+E44+E28</f>
        <v>16</v>
      </c>
      <c r="F60" s="9">
        <f t="shared" si="39"/>
        <v>12</v>
      </c>
      <c r="G60" s="20">
        <f t="shared" si="31"/>
        <v>28</v>
      </c>
      <c r="H60" s="42">
        <f t="shared" ref="H60:I60" si="40">+H44+H28</f>
        <v>8</v>
      </c>
      <c r="I60" s="9">
        <f t="shared" si="40"/>
        <v>0</v>
      </c>
      <c r="J60" s="20">
        <f t="shared" si="33"/>
        <v>8</v>
      </c>
      <c r="K60" s="38">
        <f t="shared" si="34"/>
        <v>0.16</v>
      </c>
      <c r="L60" s="39">
        <f t="shared" si="35"/>
        <v>5.5813953488372092E-2</v>
      </c>
      <c r="M60" s="36">
        <f t="shared" si="36"/>
        <v>8.8888888888888892E-2</v>
      </c>
      <c r="N60" s="198"/>
      <c r="O60" s="198"/>
      <c r="P60" s="198"/>
      <c r="Q60" s="198"/>
      <c r="R60" s="162"/>
      <c r="T60" s="172"/>
      <c r="U60" s="172"/>
      <c r="V60" s="172"/>
      <c r="W60" s="172"/>
      <c r="X60" s="172"/>
    </row>
    <row r="61" spans="1:26" x14ac:dyDescent="0.2">
      <c r="A61" s="12" t="s">
        <v>7</v>
      </c>
      <c r="B61" s="19">
        <f t="shared" si="28"/>
        <v>71</v>
      </c>
      <c r="C61" s="9">
        <f t="shared" si="28"/>
        <v>255</v>
      </c>
      <c r="D61" s="20">
        <f t="shared" si="29"/>
        <v>326</v>
      </c>
      <c r="E61" s="19">
        <f t="shared" ref="E61:F61" si="41">+E45+E29</f>
        <v>9</v>
      </c>
      <c r="F61" s="9">
        <f t="shared" si="41"/>
        <v>29</v>
      </c>
      <c r="G61" s="20">
        <f t="shared" si="31"/>
        <v>38</v>
      </c>
      <c r="H61" s="42">
        <f t="shared" ref="H61:I61" si="42">+H45+H29</f>
        <v>5</v>
      </c>
      <c r="I61" s="9">
        <f t="shared" si="42"/>
        <v>0</v>
      </c>
      <c r="J61" s="20">
        <f t="shared" si="33"/>
        <v>5</v>
      </c>
      <c r="K61" s="38">
        <f t="shared" si="34"/>
        <v>0.13636363636363635</v>
      </c>
      <c r="L61" s="39">
        <f t="shared" si="35"/>
        <v>0.11372549019607843</v>
      </c>
      <c r="M61" s="36">
        <f t="shared" si="36"/>
        <v>0.11838006230529595</v>
      </c>
      <c r="N61" s="198"/>
      <c r="O61" s="198"/>
      <c r="P61" s="198"/>
      <c r="Q61" s="198"/>
      <c r="R61" s="162"/>
      <c r="T61" s="172"/>
      <c r="U61" s="172"/>
      <c r="V61" s="172"/>
      <c r="W61" s="172"/>
      <c r="X61" s="172"/>
    </row>
    <row r="62" spans="1:26" x14ac:dyDescent="0.2">
      <c r="A62" s="12" t="s">
        <v>8</v>
      </c>
      <c r="B62" s="19">
        <f t="shared" si="28"/>
        <v>103</v>
      </c>
      <c r="C62" s="9">
        <f t="shared" si="28"/>
        <v>245</v>
      </c>
      <c r="D62" s="20">
        <f t="shared" si="29"/>
        <v>348</v>
      </c>
      <c r="E62" s="19">
        <f t="shared" ref="E62:F62" si="43">+E46+E30</f>
        <v>12</v>
      </c>
      <c r="F62" s="9">
        <f t="shared" si="43"/>
        <v>1</v>
      </c>
      <c r="G62" s="20">
        <f t="shared" si="31"/>
        <v>13</v>
      </c>
      <c r="H62" s="42">
        <f t="shared" ref="H62:I62" si="44">+H46+H30</f>
        <v>30</v>
      </c>
      <c r="I62" s="9">
        <f t="shared" si="44"/>
        <v>0</v>
      </c>
      <c r="J62" s="20">
        <f t="shared" si="33"/>
        <v>30</v>
      </c>
      <c r="K62" s="38">
        <f t="shared" si="34"/>
        <v>0.16438356164383561</v>
      </c>
      <c r="L62" s="39">
        <f t="shared" si="35"/>
        <v>4.0816326530612249E-3</v>
      </c>
      <c r="M62" s="36">
        <f t="shared" si="36"/>
        <v>4.0880503144654086E-2</v>
      </c>
      <c r="N62" s="198"/>
      <c r="O62" s="198"/>
      <c r="P62" s="198"/>
      <c r="Q62" s="198"/>
      <c r="R62" s="162"/>
      <c r="T62" s="172"/>
      <c r="U62" s="172"/>
      <c r="V62" s="172"/>
      <c r="W62" s="172"/>
      <c r="X62" s="172"/>
    </row>
    <row r="63" spans="1:26" x14ac:dyDescent="0.2">
      <c r="A63" s="12" t="s">
        <v>9</v>
      </c>
      <c r="B63" s="19">
        <f t="shared" si="28"/>
        <v>79</v>
      </c>
      <c r="C63" s="9">
        <f t="shared" si="28"/>
        <v>243</v>
      </c>
      <c r="D63" s="20">
        <f t="shared" si="29"/>
        <v>322</v>
      </c>
      <c r="E63" s="19">
        <f t="shared" ref="E63:F63" si="45">+E47+E31</f>
        <v>12</v>
      </c>
      <c r="F63" s="9">
        <f t="shared" si="45"/>
        <v>37</v>
      </c>
      <c r="G63" s="20">
        <f t="shared" si="31"/>
        <v>49</v>
      </c>
      <c r="H63" s="42">
        <f t="shared" ref="H63:I63" si="46">+H47+H31</f>
        <v>13</v>
      </c>
      <c r="I63" s="9">
        <f t="shared" si="46"/>
        <v>0</v>
      </c>
      <c r="J63" s="20">
        <f t="shared" si="33"/>
        <v>13</v>
      </c>
      <c r="K63" s="38">
        <f t="shared" si="34"/>
        <v>0.18181818181818182</v>
      </c>
      <c r="L63" s="39">
        <f t="shared" si="35"/>
        <v>0.15226337448559671</v>
      </c>
      <c r="M63" s="36">
        <f t="shared" si="36"/>
        <v>0.15857605177993528</v>
      </c>
      <c r="N63" s="198"/>
      <c r="O63" s="198"/>
      <c r="P63" s="198"/>
      <c r="Q63" s="198"/>
      <c r="R63" s="162"/>
      <c r="T63" s="172"/>
      <c r="U63" s="172"/>
      <c r="V63" s="172"/>
      <c r="W63" s="172"/>
      <c r="X63" s="172"/>
    </row>
    <row r="64" spans="1:26" x14ac:dyDescent="0.2">
      <c r="A64" s="12" t="s">
        <v>10</v>
      </c>
      <c r="B64" s="19">
        <f t="shared" si="28"/>
        <v>79</v>
      </c>
      <c r="C64" s="9">
        <f t="shared" si="28"/>
        <v>211</v>
      </c>
      <c r="D64" s="20">
        <f t="shared" si="29"/>
        <v>290</v>
      </c>
      <c r="E64" s="19">
        <f t="shared" ref="E64:F64" si="47">+E48+E32</f>
        <v>8</v>
      </c>
      <c r="F64" s="9">
        <f t="shared" si="47"/>
        <v>14</v>
      </c>
      <c r="G64" s="20">
        <f t="shared" si="31"/>
        <v>22</v>
      </c>
      <c r="H64" s="42">
        <f t="shared" ref="H64:I64" si="48">+H48+H32</f>
        <v>11</v>
      </c>
      <c r="I64" s="9">
        <f t="shared" si="48"/>
        <v>0</v>
      </c>
      <c r="J64" s="20">
        <f t="shared" si="33"/>
        <v>11</v>
      </c>
      <c r="K64" s="38">
        <f t="shared" si="34"/>
        <v>0.11764705882352941</v>
      </c>
      <c r="L64" s="39">
        <f t="shared" si="35"/>
        <v>6.6350710900473939E-2</v>
      </c>
      <c r="M64" s="36">
        <f t="shared" si="36"/>
        <v>7.8853046594982074E-2</v>
      </c>
      <c r="N64" s="198"/>
      <c r="O64" s="198"/>
      <c r="P64" s="198"/>
      <c r="Q64" s="198"/>
      <c r="R64" s="162"/>
      <c r="T64" s="172"/>
      <c r="U64" s="172"/>
      <c r="V64" s="172"/>
      <c r="W64" s="172"/>
      <c r="X64" s="172"/>
    </row>
    <row r="65" spans="1:32" x14ac:dyDescent="0.2">
      <c r="A65" s="12" t="s">
        <v>11</v>
      </c>
      <c r="B65" s="19">
        <f t="shared" si="28"/>
        <v>93</v>
      </c>
      <c r="C65" s="9">
        <f t="shared" si="28"/>
        <v>300</v>
      </c>
      <c r="D65" s="20">
        <f t="shared" si="29"/>
        <v>393</v>
      </c>
      <c r="E65" s="19">
        <f t="shared" ref="E65:F65" si="49">+E49+E33</f>
        <v>7</v>
      </c>
      <c r="F65" s="9">
        <f t="shared" si="49"/>
        <v>27</v>
      </c>
      <c r="G65" s="20">
        <f t="shared" si="31"/>
        <v>34</v>
      </c>
      <c r="H65" s="42">
        <f t="shared" ref="H65:I65" si="50">+H49+H33</f>
        <v>13</v>
      </c>
      <c r="I65" s="9">
        <f t="shared" si="50"/>
        <v>0</v>
      </c>
      <c r="J65" s="20">
        <f t="shared" si="33"/>
        <v>13</v>
      </c>
      <c r="K65" s="38">
        <f t="shared" si="34"/>
        <v>8.7499999999999994E-2</v>
      </c>
      <c r="L65" s="39">
        <f t="shared" si="35"/>
        <v>0.09</v>
      </c>
      <c r="M65" s="36">
        <f t="shared" si="36"/>
        <v>8.9473684210526316E-2</v>
      </c>
      <c r="N65" s="198"/>
      <c r="O65" s="198"/>
      <c r="P65" s="198"/>
      <c r="Q65" s="198"/>
      <c r="R65" s="162"/>
      <c r="T65" s="172"/>
      <c r="U65" s="172"/>
      <c r="V65" s="172"/>
      <c r="W65" s="172"/>
      <c r="X65" s="172"/>
    </row>
    <row r="66" spans="1:32" x14ac:dyDescent="0.2">
      <c r="A66" s="12" t="s">
        <v>12</v>
      </c>
      <c r="B66" s="19">
        <f t="shared" si="28"/>
        <v>78</v>
      </c>
      <c r="C66" s="9">
        <f t="shared" si="28"/>
        <v>196</v>
      </c>
      <c r="D66" s="20">
        <f t="shared" si="29"/>
        <v>274</v>
      </c>
      <c r="E66" s="19">
        <f t="shared" ref="E66:F66" si="51">+E50+E34</f>
        <v>10</v>
      </c>
      <c r="F66" s="9">
        <f t="shared" si="51"/>
        <v>9</v>
      </c>
      <c r="G66" s="20">
        <f t="shared" si="31"/>
        <v>19</v>
      </c>
      <c r="H66" s="42">
        <f t="shared" ref="H66:I66" si="52">+H50+H34</f>
        <v>14</v>
      </c>
      <c r="I66" s="9">
        <f t="shared" si="52"/>
        <v>0</v>
      </c>
      <c r="J66" s="20">
        <f t="shared" si="33"/>
        <v>14</v>
      </c>
      <c r="K66" s="38">
        <f t="shared" si="34"/>
        <v>0.15625</v>
      </c>
      <c r="L66" s="39">
        <f t="shared" si="35"/>
        <v>4.5918367346938778E-2</v>
      </c>
      <c r="M66" s="36">
        <f t="shared" si="36"/>
        <v>7.3076923076923081E-2</v>
      </c>
      <c r="N66" s="198"/>
      <c r="O66" s="198"/>
      <c r="P66" s="198"/>
      <c r="Q66" s="198"/>
      <c r="R66" s="162"/>
      <c r="T66" s="172"/>
      <c r="U66" s="172"/>
      <c r="V66" s="172"/>
      <c r="W66" s="172"/>
      <c r="X66" s="172"/>
    </row>
    <row r="67" spans="1:32" x14ac:dyDescent="0.2">
      <c r="A67" s="12" t="s">
        <v>13</v>
      </c>
      <c r="B67" s="19">
        <f t="shared" si="28"/>
        <v>46</v>
      </c>
      <c r="C67" s="9">
        <f t="shared" si="28"/>
        <v>222</v>
      </c>
      <c r="D67" s="20">
        <f t="shared" si="29"/>
        <v>268</v>
      </c>
      <c r="E67" s="19">
        <f t="shared" ref="E67:F67" si="53">+E51+E35</f>
        <v>6</v>
      </c>
      <c r="F67" s="9">
        <f t="shared" si="53"/>
        <v>11</v>
      </c>
      <c r="G67" s="20">
        <f t="shared" si="31"/>
        <v>17</v>
      </c>
      <c r="H67" s="42">
        <f t="shared" ref="H67:I67" si="54">+H51+H35</f>
        <v>4</v>
      </c>
      <c r="I67" s="9">
        <f t="shared" si="54"/>
        <v>0</v>
      </c>
      <c r="J67" s="20">
        <f t="shared" si="33"/>
        <v>4</v>
      </c>
      <c r="K67" s="38">
        <f t="shared" si="34"/>
        <v>0.14285714285714285</v>
      </c>
      <c r="L67" s="39">
        <f t="shared" si="35"/>
        <v>4.954954954954955E-2</v>
      </c>
      <c r="M67" s="36">
        <f t="shared" si="36"/>
        <v>6.4393939393939392E-2</v>
      </c>
      <c r="N67" s="198"/>
      <c r="O67" s="198"/>
      <c r="P67" s="198"/>
      <c r="Q67" s="198"/>
      <c r="R67" s="162"/>
      <c r="T67" s="172"/>
      <c r="U67" s="172"/>
      <c r="V67" s="172"/>
      <c r="W67" s="172"/>
      <c r="X67" s="172"/>
    </row>
    <row r="68" spans="1:32" x14ac:dyDescent="0.2">
      <c r="A68" s="12" t="s">
        <v>14</v>
      </c>
      <c r="B68" s="19">
        <f t="shared" si="28"/>
        <v>84</v>
      </c>
      <c r="C68" s="9">
        <f t="shared" si="28"/>
        <v>275</v>
      </c>
      <c r="D68" s="20">
        <f t="shared" si="29"/>
        <v>359</v>
      </c>
      <c r="E68" s="19">
        <f t="shared" ref="E68:F68" si="55">+E52+E36</f>
        <v>21</v>
      </c>
      <c r="F68" s="9">
        <f t="shared" si="55"/>
        <v>9</v>
      </c>
      <c r="G68" s="20">
        <f t="shared" si="31"/>
        <v>30</v>
      </c>
      <c r="H68" s="42">
        <f t="shared" ref="H68:I68" si="56">+H52+H36</f>
        <v>8</v>
      </c>
      <c r="I68" s="9">
        <f t="shared" si="56"/>
        <v>0</v>
      </c>
      <c r="J68" s="20">
        <f t="shared" si="33"/>
        <v>8</v>
      </c>
      <c r="K68" s="38">
        <f t="shared" si="34"/>
        <v>0.27631578947368424</v>
      </c>
      <c r="L68" s="39">
        <f t="shared" si="35"/>
        <v>3.272727272727273E-2</v>
      </c>
      <c r="M68" s="36">
        <f t="shared" si="36"/>
        <v>8.5470085470085472E-2</v>
      </c>
      <c r="N68" s="198"/>
      <c r="O68" s="198"/>
      <c r="P68" s="198"/>
      <c r="Q68" s="198"/>
      <c r="R68" s="162"/>
      <c r="T68" s="172"/>
      <c r="U68" s="172"/>
      <c r="V68" s="172"/>
      <c r="W68" s="172"/>
      <c r="X68" s="172"/>
    </row>
    <row r="69" spans="1:32" ht="15" thickBot="1" x14ac:dyDescent="0.25">
      <c r="A69" s="14" t="s">
        <v>18</v>
      </c>
      <c r="B69" s="24">
        <f>+B53+B37</f>
        <v>0</v>
      </c>
      <c r="C69" s="13">
        <f>+C53+C37</f>
        <v>0</v>
      </c>
      <c r="D69" s="25">
        <f t="shared" si="29"/>
        <v>0</v>
      </c>
      <c r="E69" s="24">
        <f t="shared" ref="E69:F69" si="57">+E53+E37</f>
        <v>0</v>
      </c>
      <c r="F69" s="13">
        <f t="shared" si="57"/>
        <v>0</v>
      </c>
      <c r="G69" s="25">
        <f t="shared" si="31"/>
        <v>0</v>
      </c>
      <c r="H69" s="24">
        <f t="shared" ref="H69:I69" si="58">+H53+H37</f>
        <v>0</v>
      </c>
      <c r="I69" s="13">
        <f t="shared" si="58"/>
        <v>0</v>
      </c>
      <c r="J69" s="25">
        <f t="shared" si="33"/>
        <v>0</v>
      </c>
      <c r="K69" s="38">
        <f t="shared" si="34"/>
        <v>0</v>
      </c>
      <c r="L69" s="39">
        <f t="shared" si="35"/>
        <v>0</v>
      </c>
      <c r="M69" s="36">
        <f t="shared" si="36"/>
        <v>0</v>
      </c>
      <c r="N69" s="198"/>
      <c r="O69" s="198"/>
      <c r="P69" s="198"/>
      <c r="Q69" s="198"/>
      <c r="R69" s="162"/>
      <c r="T69" s="172"/>
      <c r="U69" s="172"/>
      <c r="V69" s="172"/>
      <c r="W69" s="172"/>
      <c r="X69" s="172"/>
    </row>
    <row r="70" spans="1:32" ht="15.75" thickBot="1" x14ac:dyDescent="0.3">
      <c r="A70" s="100" t="s">
        <v>16</v>
      </c>
      <c r="B70" s="102">
        <f>SUM(B57:B69)</f>
        <v>991</v>
      </c>
      <c r="C70" s="102">
        <f t="shared" ref="C70" si="59">SUM(C57:C69)</f>
        <v>2792</v>
      </c>
      <c r="D70" s="102">
        <f t="shared" ref="D70" si="60">SUM(D57:D69)</f>
        <v>3783</v>
      </c>
      <c r="E70" s="102">
        <f t="shared" ref="E70" si="61">SUM(E57:E69)</f>
        <v>126</v>
      </c>
      <c r="F70" s="102">
        <f t="shared" ref="F70" si="62">SUM(F57:F69)</f>
        <v>200</v>
      </c>
      <c r="G70" s="102">
        <f t="shared" ref="G70:I70" si="63">SUM(G57:G69)</f>
        <v>326</v>
      </c>
      <c r="H70" s="102">
        <f t="shared" si="63"/>
        <v>133</v>
      </c>
      <c r="I70" s="102">
        <f t="shared" si="63"/>
        <v>1</v>
      </c>
      <c r="J70" s="102">
        <f t="shared" ref="J70" si="64">SUM(J57:J69)</f>
        <v>134</v>
      </c>
      <c r="K70" s="105">
        <f t="shared" si="34"/>
        <v>0.14685314685314685</v>
      </c>
      <c r="L70" s="106">
        <f t="shared" si="35"/>
        <v>7.1658903618774639E-2</v>
      </c>
      <c r="M70" s="189">
        <f t="shared" si="36"/>
        <v>8.933954508084406E-2</v>
      </c>
      <c r="N70" s="180">
        <v>0.09</v>
      </c>
      <c r="O70" s="180">
        <v>0.12</v>
      </c>
      <c r="P70" s="180">
        <v>0.12</v>
      </c>
      <c r="Q70" s="180">
        <v>0.12</v>
      </c>
      <c r="R70" s="180">
        <v>0.12</v>
      </c>
      <c r="S70" s="180">
        <v>0.11</v>
      </c>
      <c r="T70" s="180">
        <v>0.06</v>
      </c>
      <c r="U70" s="180">
        <v>0.17</v>
      </c>
      <c r="V70" s="180">
        <v>0.13</v>
      </c>
      <c r="W70" s="180">
        <v>0.21</v>
      </c>
      <c r="X70" s="162"/>
      <c r="Y70" s="172"/>
    </row>
    <row r="71" spans="1:32" s="26" customFormat="1" ht="15" thickBot="1" x14ac:dyDescent="0.25">
      <c r="N71" s="162"/>
      <c r="O71" s="162"/>
    </row>
    <row r="72" spans="1:32" ht="35.25" customHeight="1" thickBot="1" x14ac:dyDescent="0.25">
      <c r="A72" s="240" t="s">
        <v>88</v>
      </c>
      <c r="B72" s="241"/>
      <c r="C72" s="241"/>
      <c r="D72" s="241"/>
      <c r="E72" s="241"/>
      <c r="F72" s="241"/>
      <c r="G72" s="242"/>
      <c r="H72" s="27"/>
      <c r="I72" s="27"/>
      <c r="J72" s="27"/>
      <c r="K72" s="74"/>
    </row>
    <row r="73" spans="1:32" ht="15.75" thickBot="1" x14ac:dyDescent="0.3">
      <c r="A73" s="80"/>
      <c r="B73" s="256" t="s">
        <v>132</v>
      </c>
      <c r="C73" s="235"/>
      <c r="D73" s="236" t="s">
        <v>133</v>
      </c>
      <c r="E73" s="237"/>
      <c r="F73" s="238" t="s">
        <v>16</v>
      </c>
      <c r="G73" s="263"/>
      <c r="H73" s="209">
        <v>2021</v>
      </c>
      <c r="I73" s="210"/>
      <c r="J73" s="211"/>
      <c r="K73" s="209">
        <v>2020</v>
      </c>
      <c r="L73" s="210"/>
      <c r="M73" s="211"/>
      <c r="N73" s="209">
        <v>2019</v>
      </c>
      <c r="O73" s="210"/>
      <c r="P73" s="211"/>
      <c r="Q73" s="209">
        <v>2018</v>
      </c>
      <c r="R73" s="210"/>
      <c r="S73" s="211"/>
      <c r="T73" s="209">
        <v>2017</v>
      </c>
      <c r="U73" s="210"/>
      <c r="V73" s="211"/>
      <c r="W73" s="209">
        <v>2016</v>
      </c>
      <c r="X73" s="210"/>
      <c r="Y73" s="211"/>
      <c r="Z73" s="209">
        <v>2015</v>
      </c>
      <c r="AA73" s="210"/>
      <c r="AB73" s="211"/>
      <c r="AC73" s="173"/>
      <c r="AF73" s="162"/>
    </row>
    <row r="74" spans="1:32" ht="29.25" customHeight="1" thickBot="1" x14ac:dyDescent="0.25">
      <c r="A74" s="81"/>
      <c r="B74" s="77" t="s">
        <v>37</v>
      </c>
      <c r="C74" s="30" t="s">
        <v>38</v>
      </c>
      <c r="D74" s="29" t="s">
        <v>37</v>
      </c>
      <c r="E74" s="30" t="s">
        <v>38</v>
      </c>
      <c r="F74" s="29" t="s">
        <v>37</v>
      </c>
      <c r="G74" s="174" t="s">
        <v>38</v>
      </c>
      <c r="H74" s="186" t="s">
        <v>132</v>
      </c>
      <c r="I74" s="187" t="s">
        <v>133</v>
      </c>
      <c r="J74" s="44" t="s">
        <v>16</v>
      </c>
      <c r="K74" s="186" t="s">
        <v>132</v>
      </c>
      <c r="L74" s="187" t="s">
        <v>133</v>
      </c>
      <c r="M74" s="44" t="s">
        <v>16</v>
      </c>
      <c r="N74" s="186" t="s">
        <v>132</v>
      </c>
      <c r="O74" s="187" t="s">
        <v>133</v>
      </c>
      <c r="P74" s="44" t="s">
        <v>16</v>
      </c>
      <c r="Q74" s="186" t="s">
        <v>132</v>
      </c>
      <c r="R74" s="187" t="s">
        <v>133</v>
      </c>
      <c r="S74" s="44" t="s">
        <v>16</v>
      </c>
      <c r="T74" s="186" t="s">
        <v>132</v>
      </c>
      <c r="U74" s="187" t="s">
        <v>133</v>
      </c>
      <c r="V74" s="44" t="s">
        <v>16</v>
      </c>
      <c r="W74" s="186" t="s">
        <v>132</v>
      </c>
      <c r="X74" s="187" t="s">
        <v>133</v>
      </c>
      <c r="Y74" s="44" t="s">
        <v>16</v>
      </c>
      <c r="Z74" s="186" t="s">
        <v>132</v>
      </c>
      <c r="AA74" s="187" t="s">
        <v>133</v>
      </c>
      <c r="AB74" s="44" t="s">
        <v>16</v>
      </c>
    </row>
    <row r="75" spans="1:32" x14ac:dyDescent="0.2">
      <c r="A75" s="98" t="s">
        <v>134</v>
      </c>
      <c r="B75" s="84">
        <f>COUNTIFS(DATA!$J$3:$J$7183,1,DATA!$D$3:$D$7183,260)</f>
        <v>186</v>
      </c>
      <c r="C75" s="85">
        <f t="shared" ref="C75:C80" si="65">+B75/$B$80</f>
        <v>0.81222707423580787</v>
      </c>
      <c r="D75" s="84">
        <f>COUNTIFS(DATA!$J$3:$J$7183,1,DATA!$D$3:$D$7183,280)</f>
        <v>63</v>
      </c>
      <c r="E75" s="85">
        <f t="shared" ref="E75:E80" si="66">+D75/$D$80</f>
        <v>0.64948453608247425</v>
      </c>
      <c r="F75" s="84">
        <f>+D75+B75</f>
        <v>249</v>
      </c>
      <c r="G75" s="175">
        <f t="shared" ref="G75:G80" si="67">+F75/$F$80</f>
        <v>0.76380368098159512</v>
      </c>
      <c r="H75" s="181">
        <v>0.81642512077294682</v>
      </c>
      <c r="I75" s="180">
        <v>0.54347826086956519</v>
      </c>
      <c r="J75" s="182">
        <v>0.73244147157190631</v>
      </c>
      <c r="K75" s="181">
        <v>0.79116465863453811</v>
      </c>
      <c r="L75" s="180">
        <v>0.69343065693430661</v>
      </c>
      <c r="M75" s="182">
        <v>0.75647668393782386</v>
      </c>
      <c r="N75" s="181">
        <v>0.81638418079096042</v>
      </c>
      <c r="O75" s="180">
        <v>0.59375</v>
      </c>
      <c r="P75" s="182">
        <v>0.74708171206225682</v>
      </c>
      <c r="Q75" s="181">
        <v>0.76</v>
      </c>
      <c r="R75" s="180">
        <v>0.6</v>
      </c>
      <c r="S75" s="182">
        <v>0.71</v>
      </c>
      <c r="T75" s="181">
        <v>0.71717171717171713</v>
      </c>
      <c r="U75" s="180">
        <v>0.65030674846625769</v>
      </c>
      <c r="V75" s="182">
        <v>0.69347826086956521</v>
      </c>
      <c r="W75" s="181">
        <v>0.80351906158357767</v>
      </c>
      <c r="X75" s="180">
        <v>0.56944444444444442</v>
      </c>
      <c r="Y75" s="182">
        <v>0.73402061855670098</v>
      </c>
      <c r="Z75" s="181">
        <v>0.82098765432098764</v>
      </c>
      <c r="AA75" s="180">
        <v>0.58715596330275233</v>
      </c>
      <c r="AB75" s="182">
        <v>0.76102088167053361</v>
      </c>
    </row>
    <row r="76" spans="1:32" x14ac:dyDescent="0.2">
      <c r="A76" s="82" t="s">
        <v>89</v>
      </c>
      <c r="B76" s="42">
        <f>COUNTIFS(DATA!$J$3:$J$7183,2,DATA!$D$3:$D$7183,260)</f>
        <v>33</v>
      </c>
      <c r="C76" s="36">
        <f t="shared" si="65"/>
        <v>0.14410480349344978</v>
      </c>
      <c r="D76" s="42">
        <f>COUNTIFS(DATA!$J$3:$J$7183,2,DATA!$D$3:$D$7183,280)</f>
        <v>14</v>
      </c>
      <c r="E76" s="36">
        <f t="shared" si="66"/>
        <v>0.14432989690721648</v>
      </c>
      <c r="F76" s="42">
        <f t="shared" ref="F76:F78" si="68">+D76+B76</f>
        <v>47</v>
      </c>
      <c r="G76" s="176">
        <f t="shared" si="67"/>
        <v>0.14417177914110429</v>
      </c>
      <c r="H76" s="181">
        <v>0.13526570048309178</v>
      </c>
      <c r="I76" s="180">
        <v>0.2391304347826087</v>
      </c>
      <c r="J76" s="182">
        <v>0.16722408026755853</v>
      </c>
      <c r="K76" s="181">
        <v>0.1606425702811245</v>
      </c>
      <c r="L76" s="180">
        <v>0.13868613138686131</v>
      </c>
      <c r="M76" s="182">
        <v>0.15284974093264247</v>
      </c>
      <c r="N76" s="181">
        <v>0.1440677966101695</v>
      </c>
      <c r="O76" s="180">
        <v>0.2</v>
      </c>
      <c r="P76" s="182">
        <v>0.16147859922178989</v>
      </c>
      <c r="Q76" s="181">
        <v>0.18</v>
      </c>
      <c r="R76" s="180">
        <v>0.2</v>
      </c>
      <c r="S76" s="182">
        <v>0.19</v>
      </c>
      <c r="T76" s="181">
        <v>0.23232323232323232</v>
      </c>
      <c r="U76" s="180">
        <v>0.14723926380368099</v>
      </c>
      <c r="V76" s="182">
        <v>0.20217391304347826</v>
      </c>
      <c r="W76" s="181">
        <v>0.14076246334310852</v>
      </c>
      <c r="X76" s="180">
        <v>0.24305555555555555</v>
      </c>
      <c r="Y76" s="182">
        <v>0.1711340206185567</v>
      </c>
      <c r="Z76" s="181">
        <v>0.12962962962962962</v>
      </c>
      <c r="AA76" s="180">
        <v>0.19266055045871561</v>
      </c>
      <c r="AB76" s="182">
        <v>0.14617169373549885</v>
      </c>
    </row>
    <row r="77" spans="1:32" x14ac:dyDescent="0.2">
      <c r="A77" s="83" t="s">
        <v>90</v>
      </c>
      <c r="B77" s="42">
        <f>COUNTIFS(DATA!$J$3:$J$7183,"3",DATA!$D$3:$D$7183,260)</f>
        <v>6</v>
      </c>
      <c r="C77" s="36">
        <f t="shared" si="65"/>
        <v>2.6200873362445413E-2</v>
      </c>
      <c r="D77" s="42">
        <f>COUNTIFS(DATA!$J$3:$J$7183,"3",DATA!$D$3:$D$7183,280)</f>
        <v>6</v>
      </c>
      <c r="E77" s="36">
        <f t="shared" si="66"/>
        <v>6.1855670103092786E-2</v>
      </c>
      <c r="F77" s="42">
        <f t="shared" si="68"/>
        <v>12</v>
      </c>
      <c r="G77" s="176">
        <f t="shared" si="67"/>
        <v>3.6809815950920248E-2</v>
      </c>
      <c r="H77" s="181">
        <v>1.932367149758454E-2</v>
      </c>
      <c r="I77" s="180">
        <v>8.6956521739130432E-2</v>
      </c>
      <c r="J77" s="182">
        <v>4.0133779264214048E-2</v>
      </c>
      <c r="K77" s="181">
        <v>3.2128514056224897E-2</v>
      </c>
      <c r="L77" s="180">
        <v>5.1094890510948905E-2</v>
      </c>
      <c r="M77" s="182">
        <v>3.8860103626943004E-2</v>
      </c>
      <c r="N77" s="181">
        <v>2.8248587570621469E-2</v>
      </c>
      <c r="O77" s="180">
        <v>8.7499999999999994E-2</v>
      </c>
      <c r="P77" s="182">
        <v>4.6692607003891051E-2</v>
      </c>
      <c r="Q77" s="181">
        <v>0.03</v>
      </c>
      <c r="R77" s="180">
        <v>0.1</v>
      </c>
      <c r="S77" s="182">
        <v>0.05</v>
      </c>
      <c r="T77" s="181">
        <v>2.6936026936026935E-2</v>
      </c>
      <c r="U77" s="180">
        <v>6.7484662576687116E-2</v>
      </c>
      <c r="V77" s="182">
        <v>4.1304347826086954E-2</v>
      </c>
      <c r="W77" s="181">
        <v>2.932551319648094E-2</v>
      </c>
      <c r="X77" s="180">
        <v>7.6388888888888895E-2</v>
      </c>
      <c r="Y77" s="182">
        <v>4.3298969072164947E-2</v>
      </c>
      <c r="Z77" s="181">
        <v>2.1604938271604937E-2</v>
      </c>
      <c r="AA77" s="180">
        <v>6.4220183486238536E-2</v>
      </c>
      <c r="AB77" s="182">
        <v>3.248259860788863E-2</v>
      </c>
    </row>
    <row r="78" spans="1:32" x14ac:dyDescent="0.2">
      <c r="A78" s="83" t="s">
        <v>91</v>
      </c>
      <c r="B78" s="21">
        <f>COUNTIFS(DATA!$J$3:$J$7183,"4",DATA!$D$3:$D$7183,260,DATA!$I$3:$I$7183,"D")</f>
        <v>4</v>
      </c>
      <c r="C78" s="37">
        <f t="shared" si="65"/>
        <v>1.7467248908296942E-2</v>
      </c>
      <c r="D78" s="21">
        <f>COUNTIFS(DATA!$J$3:$J$7183,"4",DATA!$D$3:$D$7183,280,DATA!$I$3:$I$7183,"D")</f>
        <v>14</v>
      </c>
      <c r="E78" s="37">
        <f t="shared" si="66"/>
        <v>0.14432989690721648</v>
      </c>
      <c r="F78" s="21">
        <f t="shared" si="68"/>
        <v>18</v>
      </c>
      <c r="G78" s="177">
        <f t="shared" si="67"/>
        <v>5.5214723926380369E-2</v>
      </c>
      <c r="H78" s="181">
        <v>2.4154589371980676E-2</v>
      </c>
      <c r="I78" s="180">
        <v>0.11956521739130435</v>
      </c>
      <c r="J78" s="182">
        <v>5.3511705685618728E-2</v>
      </c>
      <c r="K78" s="181">
        <v>1.6064257028112448E-2</v>
      </c>
      <c r="L78" s="180">
        <v>0.10948905109489052</v>
      </c>
      <c r="M78" s="182">
        <v>4.9222797927461141E-2</v>
      </c>
      <c r="N78" s="181">
        <v>8.4745762711864406E-3</v>
      </c>
      <c r="O78" s="180">
        <v>0.11874999999999999</v>
      </c>
      <c r="P78" s="182">
        <v>4.2801556420233464E-2</v>
      </c>
      <c r="Q78" s="181">
        <v>0.03</v>
      </c>
      <c r="R78" s="180">
        <v>0.09</v>
      </c>
      <c r="S78" s="182">
        <v>0.05</v>
      </c>
      <c r="T78" s="181">
        <v>2.3569023569023569E-2</v>
      </c>
      <c r="U78" s="180">
        <v>0.12269938650306748</v>
      </c>
      <c r="V78" s="182">
        <v>5.8695652173913045E-2</v>
      </c>
      <c r="W78" s="181">
        <v>2.6392961876832845E-2</v>
      </c>
      <c r="X78" s="180">
        <v>0.1111111111111111</v>
      </c>
      <c r="Y78" s="182">
        <v>5.1546391752577317E-2</v>
      </c>
      <c r="Z78" s="181">
        <v>2.4691358024691357E-2</v>
      </c>
      <c r="AA78" s="180">
        <v>0.15596330275229359</v>
      </c>
      <c r="AB78" s="182">
        <v>5.8004640371229696E-2</v>
      </c>
    </row>
    <row r="79" spans="1:32" s="41" customFormat="1" ht="15" thickBot="1" x14ac:dyDescent="0.25">
      <c r="A79" s="86" t="s">
        <v>39</v>
      </c>
      <c r="B79" s="24">
        <f>COUNTIFS(DATA!$J$3:$J$7183,"5",DATA!$D$3:$D$7183,260,DATA!$I$3:$I$7183,"D")</f>
        <v>0</v>
      </c>
      <c r="C79" s="76">
        <f t="shared" si="65"/>
        <v>0</v>
      </c>
      <c r="D79" s="24">
        <f>COUNTIFS(DATA!$J$3:$J$7183,"5",DATA!$D$3:$D$7183,280,DATA!$I$3:$I$7183,"D")</f>
        <v>0</v>
      </c>
      <c r="E79" s="76">
        <f t="shared" si="66"/>
        <v>0</v>
      </c>
      <c r="F79" s="24">
        <f t="shared" ref="F79" si="69">+D79+B79</f>
        <v>0</v>
      </c>
      <c r="G79" s="178">
        <f t="shared" si="67"/>
        <v>0</v>
      </c>
      <c r="H79" s="181">
        <v>4.830917874396135E-3</v>
      </c>
      <c r="I79" s="180">
        <v>1.0869565217391304E-2</v>
      </c>
      <c r="J79" s="182">
        <v>6.688963210702341E-3</v>
      </c>
      <c r="K79" s="181">
        <v>0</v>
      </c>
      <c r="L79" s="180">
        <v>7.2992700729927005E-3</v>
      </c>
      <c r="M79" s="182">
        <v>2.5906735751295338E-3</v>
      </c>
      <c r="N79" s="181">
        <v>2.8248587570621469E-3</v>
      </c>
      <c r="O79" s="180">
        <v>0</v>
      </c>
      <c r="P79" s="182">
        <v>1.9455252918287938E-3</v>
      </c>
      <c r="Q79" s="181">
        <v>0</v>
      </c>
      <c r="R79" s="180">
        <v>1.2269938650306749E-2</v>
      </c>
      <c r="S79" s="182">
        <v>4.3478260869565218E-3</v>
      </c>
      <c r="T79" s="181">
        <v>0</v>
      </c>
      <c r="U79" s="180">
        <v>1.2269938650306749E-2</v>
      </c>
      <c r="V79" s="182">
        <v>4.3478260869565218E-3</v>
      </c>
      <c r="W79" s="181">
        <v>0</v>
      </c>
      <c r="X79" s="180">
        <v>0</v>
      </c>
      <c r="Y79" s="182">
        <v>0</v>
      </c>
      <c r="Z79" s="181">
        <v>3.0864197530864196E-3</v>
      </c>
      <c r="AA79" s="180">
        <v>0</v>
      </c>
      <c r="AB79" s="182">
        <v>2.3201856148491878E-3</v>
      </c>
      <c r="AC79" s="74"/>
      <c r="AF79" s="162"/>
    </row>
    <row r="80" spans="1:32" ht="15.75" thickBot="1" x14ac:dyDescent="0.3">
      <c r="A80" s="107" t="s">
        <v>16</v>
      </c>
      <c r="B80" s="108">
        <f>SUM(B75:B79)</f>
        <v>229</v>
      </c>
      <c r="C80" s="109">
        <f t="shared" si="65"/>
        <v>1</v>
      </c>
      <c r="D80" s="110">
        <f>SUM(D75:D79)</f>
        <v>97</v>
      </c>
      <c r="E80" s="109">
        <f t="shared" si="66"/>
        <v>1</v>
      </c>
      <c r="F80" s="110">
        <f>SUM(F75:F79)</f>
        <v>326</v>
      </c>
      <c r="G80" s="179">
        <f t="shared" si="67"/>
        <v>1</v>
      </c>
      <c r="H80" s="183">
        <v>1</v>
      </c>
      <c r="I80" s="184">
        <v>1</v>
      </c>
      <c r="J80" s="185">
        <v>1</v>
      </c>
      <c r="K80" s="183">
        <v>1</v>
      </c>
      <c r="L80" s="184">
        <v>1</v>
      </c>
      <c r="M80" s="185">
        <v>1</v>
      </c>
      <c r="N80" s="183">
        <v>1</v>
      </c>
      <c r="O80" s="184">
        <v>1</v>
      </c>
      <c r="P80" s="185">
        <v>1</v>
      </c>
      <c r="Q80" s="183">
        <v>1</v>
      </c>
      <c r="R80" s="184">
        <v>1</v>
      </c>
      <c r="S80" s="185">
        <v>1</v>
      </c>
      <c r="T80" s="183">
        <v>1</v>
      </c>
      <c r="U80" s="184">
        <v>1</v>
      </c>
      <c r="V80" s="185">
        <v>1</v>
      </c>
      <c r="W80" s="183">
        <v>1</v>
      </c>
      <c r="X80" s="184">
        <v>1</v>
      </c>
      <c r="Y80" s="185">
        <v>1</v>
      </c>
      <c r="Z80" s="183">
        <v>1</v>
      </c>
      <c r="AA80" s="184">
        <v>1</v>
      </c>
      <c r="AB80" s="185">
        <v>1</v>
      </c>
      <c r="AF80" s="162"/>
    </row>
    <row r="84" spans="11:18" ht="30" customHeight="1" x14ac:dyDescent="0.2">
      <c r="K84" s="272" t="s">
        <v>7093</v>
      </c>
      <c r="L84" s="273"/>
      <c r="M84" s="273"/>
      <c r="N84" s="273"/>
      <c r="O84" s="273"/>
      <c r="P84" s="273"/>
      <c r="Q84" s="273"/>
      <c r="R84" s="273"/>
    </row>
    <row r="85" spans="11:18" x14ac:dyDescent="0.2">
      <c r="K85" s="270" t="s">
        <v>7105</v>
      </c>
      <c r="L85" s="270"/>
      <c r="M85" s="270"/>
      <c r="N85" s="270"/>
      <c r="O85" s="270"/>
      <c r="P85" s="270"/>
      <c r="Q85" s="270"/>
      <c r="R85" s="270"/>
    </row>
    <row r="86" spans="11:18" x14ac:dyDescent="0.2">
      <c r="K86" s="270" t="s">
        <v>7106</v>
      </c>
      <c r="L86" s="270"/>
      <c r="M86" s="270"/>
      <c r="N86" s="270"/>
      <c r="O86" s="270"/>
      <c r="P86" s="270"/>
      <c r="Q86" s="270"/>
      <c r="R86" s="270"/>
    </row>
    <row r="87" spans="11:18" x14ac:dyDescent="0.2">
      <c r="K87" s="271" t="s">
        <v>7107</v>
      </c>
      <c r="L87" s="271"/>
      <c r="M87" s="271"/>
      <c r="N87" s="271"/>
      <c r="O87" s="271"/>
      <c r="P87" s="271"/>
      <c r="Q87" s="271"/>
      <c r="R87" s="271"/>
    </row>
    <row r="88" spans="11:18" x14ac:dyDescent="0.2">
      <c r="K88" s="271" t="s">
        <v>7108</v>
      </c>
      <c r="L88" s="271"/>
      <c r="M88" s="271"/>
      <c r="N88" s="271"/>
      <c r="O88" s="271"/>
      <c r="P88" s="271"/>
      <c r="Q88" s="271"/>
      <c r="R88" s="271"/>
    </row>
    <row r="107" spans="1:32" ht="15" thickBot="1" x14ac:dyDescent="0.25"/>
    <row r="108" spans="1:32" ht="37.5" customHeight="1" thickBot="1" x14ac:dyDescent="0.25">
      <c r="A108" s="240" t="s">
        <v>92</v>
      </c>
      <c r="B108" s="241"/>
      <c r="C108" s="241"/>
      <c r="D108" s="241"/>
      <c r="E108" s="241"/>
      <c r="F108" s="241"/>
      <c r="G108" s="242"/>
      <c r="H108" s="74"/>
      <c r="I108" s="74"/>
      <c r="J108" s="74"/>
      <c r="K108" s="74"/>
    </row>
    <row r="109" spans="1:32" ht="15.75" thickBot="1" x14ac:dyDescent="0.3">
      <c r="A109" s="80"/>
      <c r="B109" s="256" t="str">
        <f>+B73</f>
        <v>Successful</v>
      </c>
      <c r="C109" s="235"/>
      <c r="D109" s="236" t="str">
        <f>+D73</f>
        <v>Unsuccessful</v>
      </c>
      <c r="E109" s="237"/>
      <c r="F109" s="238" t="s">
        <v>16</v>
      </c>
      <c r="G109" s="239"/>
      <c r="H109" s="206">
        <f>+H73</f>
        <v>2021</v>
      </c>
      <c r="I109" s="207"/>
      <c r="J109" s="208"/>
      <c r="K109" s="206">
        <f>+K73</f>
        <v>2020</v>
      </c>
      <c r="L109" s="207"/>
      <c r="M109" s="208"/>
      <c r="N109" s="206">
        <f>+N73</f>
        <v>2019</v>
      </c>
      <c r="O109" s="207"/>
      <c r="P109" s="208"/>
      <c r="Q109" s="206">
        <f>+Q73</f>
        <v>2018</v>
      </c>
      <c r="R109" s="207"/>
      <c r="S109" s="208"/>
      <c r="T109" s="206">
        <f>+T73</f>
        <v>2017</v>
      </c>
      <c r="U109" s="207"/>
      <c r="V109" s="208"/>
      <c r="W109" s="209">
        <f>+W73</f>
        <v>2016</v>
      </c>
      <c r="X109" s="210"/>
      <c r="Y109" s="211"/>
      <c r="Z109" s="209">
        <f>+Z73</f>
        <v>2015</v>
      </c>
      <c r="AA109" s="210"/>
      <c r="AB109" s="211"/>
      <c r="AC109" s="173"/>
      <c r="AF109" s="162"/>
    </row>
    <row r="110" spans="1:32" ht="29.25" thickBot="1" x14ac:dyDescent="0.25">
      <c r="A110" s="81"/>
      <c r="B110" s="77" t="s">
        <v>37</v>
      </c>
      <c r="C110" s="30" t="s">
        <v>38</v>
      </c>
      <c r="D110" s="29" t="s">
        <v>37</v>
      </c>
      <c r="E110" s="30" t="s">
        <v>38</v>
      </c>
      <c r="F110" s="29" t="s">
        <v>37</v>
      </c>
      <c r="G110" s="30" t="s">
        <v>38</v>
      </c>
      <c r="H110" s="186" t="s">
        <v>132</v>
      </c>
      <c r="I110" s="187" t="s">
        <v>133</v>
      </c>
      <c r="J110" s="44" t="s">
        <v>16</v>
      </c>
      <c r="K110" s="186" t="s">
        <v>132</v>
      </c>
      <c r="L110" s="187" t="s">
        <v>133</v>
      </c>
      <c r="M110" s="44" t="s">
        <v>16</v>
      </c>
      <c r="N110" s="186" t="s">
        <v>132</v>
      </c>
      <c r="O110" s="187" t="s">
        <v>133</v>
      </c>
      <c r="P110" s="44" t="s">
        <v>16</v>
      </c>
      <c r="Q110" s="186" t="s">
        <v>132</v>
      </c>
      <c r="R110" s="187" t="s">
        <v>133</v>
      </c>
      <c r="S110" s="44" t="s">
        <v>16</v>
      </c>
      <c r="T110" s="186" t="s">
        <v>132</v>
      </c>
      <c r="U110" s="187" t="s">
        <v>133</v>
      </c>
      <c r="V110" s="44" t="s">
        <v>16</v>
      </c>
      <c r="W110" s="186" t="s">
        <v>132</v>
      </c>
      <c r="X110" s="187" t="s">
        <v>133</v>
      </c>
      <c r="Y110" s="44" t="s">
        <v>16</v>
      </c>
      <c r="Z110" s="186" t="s">
        <v>132</v>
      </c>
      <c r="AA110" s="187" t="s">
        <v>133</v>
      </c>
      <c r="AB110" s="44" t="s">
        <v>16</v>
      </c>
    </row>
    <row r="111" spans="1:32" x14ac:dyDescent="0.2">
      <c r="A111" s="98" t="s">
        <v>134</v>
      </c>
      <c r="B111" s="78">
        <f>COUNTIFS(DATA!$K$3:$K$7183,1,DATA!$D$3:$D$7183,260)</f>
        <v>192</v>
      </c>
      <c r="C111" s="35">
        <f t="shared" ref="C111:C116" si="70">+B111/$B$116</f>
        <v>0.83842794759825323</v>
      </c>
      <c r="D111" s="31">
        <f>COUNTIFS(DATA!$K$3:$K$7183,1,DATA!$D$3:$D$7183,280)</f>
        <v>62</v>
      </c>
      <c r="E111" s="35">
        <f t="shared" ref="E111:E116" si="71">+D111/$D$116</f>
        <v>0.63917525773195871</v>
      </c>
      <c r="F111" s="31">
        <f>+D111+B111</f>
        <v>254</v>
      </c>
      <c r="G111" s="35">
        <f t="shared" ref="G111:G116" si="72">+F111/$F$116</f>
        <v>0.77914110429447858</v>
      </c>
      <c r="H111" s="181">
        <v>0.85024154589371981</v>
      </c>
      <c r="I111" s="180">
        <v>0.60869565217391308</v>
      </c>
      <c r="J111" s="182">
        <v>0.77591973244147161</v>
      </c>
      <c r="K111" s="181">
        <v>0.82730923694779113</v>
      </c>
      <c r="L111" s="180">
        <v>0.72992700729927007</v>
      </c>
      <c r="M111" s="182">
        <v>0.79274611398963735</v>
      </c>
      <c r="N111" s="181">
        <v>0.85310734463276838</v>
      </c>
      <c r="O111" s="180">
        <v>0.64375000000000004</v>
      </c>
      <c r="P111" s="182">
        <v>0.78793774319066145</v>
      </c>
      <c r="Q111" s="181">
        <v>0.82</v>
      </c>
      <c r="R111" s="180">
        <v>0.65</v>
      </c>
      <c r="S111" s="182">
        <v>0.76</v>
      </c>
      <c r="T111" s="181">
        <v>0.75757575757575757</v>
      </c>
      <c r="U111" s="180">
        <v>0.64197530864197527</v>
      </c>
      <c r="V111" s="182">
        <v>0.71677559912854028</v>
      </c>
      <c r="W111" s="181">
        <v>0.80645161290322576</v>
      </c>
      <c r="X111" s="180">
        <v>0.59722222222222221</v>
      </c>
      <c r="Y111" s="182">
        <v>0.74432989690721651</v>
      </c>
      <c r="Z111" s="181">
        <v>0.83431952662721898</v>
      </c>
      <c r="AA111" s="180">
        <v>0.62616822429906538</v>
      </c>
      <c r="AB111" s="182">
        <v>0.78654292343387466</v>
      </c>
    </row>
    <row r="112" spans="1:32" x14ac:dyDescent="0.2">
      <c r="A112" s="82" t="s">
        <v>89</v>
      </c>
      <c r="B112" s="78">
        <f>COUNTIFS(DATA!$K$3:$K$7183,2,DATA!$D$3:$D$7183,260)</f>
        <v>28</v>
      </c>
      <c r="C112" s="36">
        <f t="shared" si="70"/>
        <v>0.1222707423580786</v>
      </c>
      <c r="D112" s="42">
        <f>COUNTIFS(DATA!$K$3:$K$7183,2,DATA!$D$3:$D$7183,280)</f>
        <v>17</v>
      </c>
      <c r="E112" s="36">
        <f t="shared" si="71"/>
        <v>0.17525773195876287</v>
      </c>
      <c r="F112" s="42">
        <f t="shared" ref="F112:F114" si="73">+D112+B112</f>
        <v>45</v>
      </c>
      <c r="G112" s="36">
        <f t="shared" si="72"/>
        <v>0.13803680981595093</v>
      </c>
      <c r="H112" s="181">
        <v>0.10144927536231885</v>
      </c>
      <c r="I112" s="180">
        <v>0.18478260869565216</v>
      </c>
      <c r="J112" s="182">
        <v>0.12709030100334448</v>
      </c>
      <c r="K112" s="181">
        <v>0.13654618473895583</v>
      </c>
      <c r="L112" s="180">
        <v>0.10948905109489052</v>
      </c>
      <c r="M112" s="182">
        <v>0.12694300518134716</v>
      </c>
      <c r="N112" s="181">
        <v>0.11299435028248588</v>
      </c>
      <c r="O112" s="180">
        <v>0.14374999999999999</v>
      </c>
      <c r="P112" s="182">
        <v>0.122568093385214</v>
      </c>
      <c r="Q112" s="181">
        <v>0.13</v>
      </c>
      <c r="R112" s="180">
        <v>0.16</v>
      </c>
      <c r="S112" s="182">
        <v>0.14000000000000001</v>
      </c>
      <c r="T112" s="181">
        <v>0.18181818181818182</v>
      </c>
      <c r="U112" s="180">
        <v>0.16049382716049382</v>
      </c>
      <c r="V112" s="182">
        <v>0.17429193899782136</v>
      </c>
      <c r="W112" s="181">
        <v>0.15249266862170088</v>
      </c>
      <c r="X112" s="180">
        <v>0.18055555555555555</v>
      </c>
      <c r="Y112" s="182">
        <v>0.16082474226804125</v>
      </c>
      <c r="Z112" s="181">
        <v>0.1242603550295858</v>
      </c>
      <c r="AA112" s="180">
        <v>0.14018691588785046</v>
      </c>
      <c r="AB112" s="182">
        <v>0.12761020881670534</v>
      </c>
    </row>
    <row r="113" spans="1:32" x14ac:dyDescent="0.2">
      <c r="A113" s="82" t="s">
        <v>90</v>
      </c>
      <c r="B113" s="78">
        <f>COUNTIFS(DATA!$K$3:$K$7183,"3",DATA!$D$3:$D$7183,260)</f>
        <v>6</v>
      </c>
      <c r="C113" s="36">
        <f t="shared" si="70"/>
        <v>2.6200873362445413E-2</v>
      </c>
      <c r="D113" s="42">
        <f>COUNTIFS(DATA!$K$3:$K$7183,"3",DATA!$D$3:$D$7183,280)</f>
        <v>4</v>
      </c>
      <c r="E113" s="36">
        <f t="shared" si="71"/>
        <v>4.1237113402061855E-2</v>
      </c>
      <c r="F113" s="42">
        <f t="shared" si="73"/>
        <v>10</v>
      </c>
      <c r="G113" s="36">
        <f t="shared" si="72"/>
        <v>3.0674846625766871E-2</v>
      </c>
      <c r="H113" s="181">
        <v>2.4154589371980676E-2</v>
      </c>
      <c r="I113" s="180">
        <v>7.6086956521739135E-2</v>
      </c>
      <c r="J113" s="182">
        <v>4.0133779264214048E-2</v>
      </c>
      <c r="K113" s="181">
        <v>2.0080321285140562E-2</v>
      </c>
      <c r="L113" s="180">
        <v>4.3795620437956206E-2</v>
      </c>
      <c r="M113" s="182">
        <v>2.8497409326424871E-2</v>
      </c>
      <c r="N113" s="181">
        <v>1.977401129943503E-2</v>
      </c>
      <c r="O113" s="180">
        <v>9.375E-2</v>
      </c>
      <c r="P113" s="182">
        <v>4.2801556420233464E-2</v>
      </c>
      <c r="Q113" s="181">
        <v>0.03</v>
      </c>
      <c r="R113" s="180">
        <v>0.1</v>
      </c>
      <c r="S113" s="182">
        <v>0.05</v>
      </c>
      <c r="T113" s="181">
        <v>2.6936026936026935E-2</v>
      </c>
      <c r="U113" s="180">
        <v>9.2592592592592587E-2</v>
      </c>
      <c r="V113" s="182">
        <v>5.0108932461873638E-2</v>
      </c>
      <c r="W113" s="181">
        <v>2.0527859237536656E-2</v>
      </c>
      <c r="X113" s="180">
        <v>0.1111111111111111</v>
      </c>
      <c r="Y113" s="182">
        <v>4.7422680412371132E-2</v>
      </c>
      <c r="Z113" s="181">
        <v>2.0710059171597635E-2</v>
      </c>
      <c r="AA113" s="180">
        <v>0.10280373831775701</v>
      </c>
      <c r="AB113" s="182">
        <v>3.9443155452436193E-2</v>
      </c>
    </row>
    <row r="114" spans="1:32" x14ac:dyDescent="0.2">
      <c r="A114" s="82" t="s">
        <v>91</v>
      </c>
      <c r="B114" s="79">
        <f>COUNTIFS(DATA!$K$3:$K$7183,"4",DATA!$D$3:$D$7183,260,DATA!$I$3:$I$7183,"D")</f>
        <v>3</v>
      </c>
      <c r="C114" s="36">
        <f t="shared" si="70"/>
        <v>1.3100436681222707E-2</v>
      </c>
      <c r="D114" s="42">
        <f>COUNTIFS(DATA!$K$3:$K$7183,"4",DATA!$D$3:$D$7183,280,DATA!$I$3:$I$7183,"D")</f>
        <v>14</v>
      </c>
      <c r="E114" s="36">
        <f t="shared" si="71"/>
        <v>0.14432989690721648</v>
      </c>
      <c r="F114" s="42">
        <f t="shared" si="73"/>
        <v>17</v>
      </c>
      <c r="G114" s="36">
        <f t="shared" si="72"/>
        <v>5.2147239263803678E-2</v>
      </c>
      <c r="H114" s="181">
        <v>1.932367149758454E-2</v>
      </c>
      <c r="I114" s="180">
        <v>0.11956521739130435</v>
      </c>
      <c r="J114" s="182">
        <v>5.016722408026756E-2</v>
      </c>
      <c r="K114" s="181">
        <v>1.6064257028112448E-2</v>
      </c>
      <c r="L114" s="180">
        <v>0.10218978102189781</v>
      </c>
      <c r="M114" s="182">
        <v>4.6632124352331605E-2</v>
      </c>
      <c r="N114" s="181">
        <v>8.4745762711864406E-3</v>
      </c>
      <c r="O114" s="180">
        <v>0.1125</v>
      </c>
      <c r="P114" s="182">
        <v>4.085603112840467E-2</v>
      </c>
      <c r="Q114" s="181">
        <v>0.03</v>
      </c>
      <c r="R114" s="180">
        <v>0.09</v>
      </c>
      <c r="S114" s="182">
        <v>0.05</v>
      </c>
      <c r="T114" s="181">
        <v>3.3670033670033669E-2</v>
      </c>
      <c r="U114" s="180">
        <v>9.8765432098765427E-2</v>
      </c>
      <c r="V114" s="182">
        <v>5.6644880174291937E-2</v>
      </c>
      <c r="W114" s="181">
        <v>1.7595307917888565E-2</v>
      </c>
      <c r="X114" s="180">
        <v>0.10416666666666667</v>
      </c>
      <c r="Y114" s="182">
        <v>4.3298969072164947E-2</v>
      </c>
      <c r="Z114" s="181">
        <v>1.4792899408284023E-2</v>
      </c>
      <c r="AA114" s="180">
        <v>0.13084112149532709</v>
      </c>
      <c r="AB114" s="182">
        <v>4.4083526682134569E-2</v>
      </c>
    </row>
    <row r="115" spans="1:32" s="41" customFormat="1" ht="15" thickBot="1" x14ac:dyDescent="0.25">
      <c r="A115" s="112" t="s">
        <v>39</v>
      </c>
      <c r="B115" s="113">
        <f>COUNTIFS(DATA!$K$3:$K$7183,"5",DATA!$D$3:$D$7183,260,DATA!$I$3:$I$7183,"D")</f>
        <v>0</v>
      </c>
      <c r="C115" s="37">
        <f t="shared" si="70"/>
        <v>0</v>
      </c>
      <c r="D115" s="21">
        <f>COUNTIFS(DATA!$K$3:$K$7183,"5",DATA!$D$3:$D$7183,280,DATA!$I$3:$I$7183,"D")</f>
        <v>0</v>
      </c>
      <c r="E115" s="37">
        <f t="shared" si="71"/>
        <v>0</v>
      </c>
      <c r="F115" s="21">
        <f t="shared" ref="F115" si="74">+D115+B115</f>
        <v>0</v>
      </c>
      <c r="G115" s="37">
        <f t="shared" si="72"/>
        <v>0</v>
      </c>
      <c r="H115" s="181">
        <v>4.830917874396135E-3</v>
      </c>
      <c r="I115" s="180">
        <v>1.0869565217391304E-2</v>
      </c>
      <c r="J115" s="182">
        <v>6.688963210702341E-3</v>
      </c>
      <c r="K115" s="181">
        <v>0</v>
      </c>
      <c r="L115" s="180">
        <v>1.4598540145985401E-2</v>
      </c>
      <c r="M115" s="182">
        <v>5.1813471502590676E-3</v>
      </c>
      <c r="N115" s="181">
        <v>5.6497175141242938E-3</v>
      </c>
      <c r="O115" s="180">
        <v>6.2500000000000003E-3</v>
      </c>
      <c r="P115" s="182">
        <v>5.8365758754863814E-3</v>
      </c>
      <c r="Q115" s="181">
        <v>0</v>
      </c>
      <c r="R115" s="180">
        <v>6.1728395061728392E-3</v>
      </c>
      <c r="S115" s="182">
        <v>2.1786492374727671E-3</v>
      </c>
      <c r="T115" s="181">
        <v>0</v>
      </c>
      <c r="U115" s="180">
        <v>6.1728395061728392E-3</v>
      </c>
      <c r="V115" s="182">
        <v>2.1786492374727671E-3</v>
      </c>
      <c r="W115" s="181">
        <v>2.9325513196480938E-3</v>
      </c>
      <c r="X115" s="180">
        <v>6.9444444444444441E-3</v>
      </c>
      <c r="Y115" s="182">
        <v>4.1237113402061857E-3</v>
      </c>
      <c r="Z115" s="181">
        <v>5.9171597633136093E-3</v>
      </c>
      <c r="AA115" s="180">
        <v>0</v>
      </c>
      <c r="AB115" s="182">
        <v>2.3201856148491878E-3</v>
      </c>
      <c r="AC115" s="74"/>
      <c r="AF115" s="162"/>
    </row>
    <row r="116" spans="1:32" ht="15.75" thickBot="1" x14ac:dyDescent="0.3">
      <c r="A116" s="111" t="s">
        <v>16</v>
      </c>
      <c r="B116" s="101">
        <f>SUM(B111:B115)</f>
        <v>229</v>
      </c>
      <c r="C116" s="114">
        <f t="shared" si="70"/>
        <v>1</v>
      </c>
      <c r="D116" s="101">
        <f>SUM(D111:D115)</f>
        <v>97</v>
      </c>
      <c r="E116" s="114">
        <f t="shared" si="71"/>
        <v>1</v>
      </c>
      <c r="F116" s="115">
        <f>SUM(F111:F115)</f>
        <v>326</v>
      </c>
      <c r="G116" s="114">
        <f t="shared" si="72"/>
        <v>1</v>
      </c>
      <c r="H116" s="183">
        <v>1</v>
      </c>
      <c r="I116" s="184">
        <v>1</v>
      </c>
      <c r="J116" s="185">
        <v>1</v>
      </c>
      <c r="K116" s="183">
        <v>1</v>
      </c>
      <c r="L116" s="184">
        <v>1</v>
      </c>
      <c r="M116" s="185">
        <v>1</v>
      </c>
      <c r="N116" s="183">
        <v>1</v>
      </c>
      <c r="O116" s="184">
        <v>1</v>
      </c>
      <c r="P116" s="185">
        <v>1</v>
      </c>
      <c r="Q116" s="183">
        <v>1</v>
      </c>
      <c r="R116" s="184">
        <v>1</v>
      </c>
      <c r="S116" s="185">
        <v>1</v>
      </c>
      <c r="T116" s="183">
        <v>1</v>
      </c>
      <c r="U116" s="184">
        <v>1</v>
      </c>
      <c r="V116" s="185">
        <v>1</v>
      </c>
      <c r="W116" s="183">
        <v>1</v>
      </c>
      <c r="X116" s="184">
        <v>1</v>
      </c>
      <c r="Y116" s="185">
        <v>1</v>
      </c>
      <c r="Z116" s="183">
        <v>1</v>
      </c>
      <c r="AA116" s="184">
        <v>1</v>
      </c>
      <c r="AB116" s="185">
        <v>1</v>
      </c>
      <c r="AF116" s="162"/>
    </row>
    <row r="119" spans="1:32" ht="29.25" customHeight="1" x14ac:dyDescent="0.2">
      <c r="K119" s="272" t="s">
        <v>7094</v>
      </c>
      <c r="L119" s="273"/>
      <c r="M119" s="273"/>
      <c r="N119" s="273"/>
      <c r="O119" s="273"/>
      <c r="P119" s="273"/>
      <c r="Q119" s="273"/>
      <c r="R119" s="273"/>
    </row>
    <row r="120" spans="1:32" x14ac:dyDescent="0.2">
      <c r="K120" s="274" t="s">
        <v>7109</v>
      </c>
      <c r="L120" s="270"/>
      <c r="M120" s="270"/>
      <c r="N120" s="270"/>
      <c r="O120" s="270"/>
      <c r="P120" s="270"/>
      <c r="Q120" s="270"/>
      <c r="R120" s="270"/>
    </row>
    <row r="121" spans="1:32" x14ac:dyDescent="0.2">
      <c r="K121" s="274" t="s">
        <v>7110</v>
      </c>
      <c r="L121" s="270"/>
      <c r="M121" s="270"/>
      <c r="N121" s="270"/>
      <c r="O121" s="270"/>
      <c r="P121" s="270"/>
      <c r="Q121" s="270"/>
      <c r="R121" s="270"/>
    </row>
    <row r="122" spans="1:32" x14ac:dyDescent="0.2">
      <c r="K122" s="275" t="s">
        <v>7111</v>
      </c>
      <c r="L122" s="271"/>
      <c r="M122" s="271"/>
      <c r="N122" s="271"/>
      <c r="O122" s="271"/>
      <c r="P122" s="271"/>
      <c r="Q122" s="271"/>
      <c r="R122" s="271"/>
    </row>
    <row r="123" spans="1:32" x14ac:dyDescent="0.2">
      <c r="K123" s="275" t="s">
        <v>7112</v>
      </c>
      <c r="L123" s="271"/>
      <c r="M123" s="271"/>
      <c r="N123" s="271"/>
      <c r="O123" s="271"/>
      <c r="P123" s="271"/>
      <c r="Q123" s="271"/>
      <c r="R123" s="271"/>
    </row>
    <row r="144" spans="1:10" ht="15" thickBot="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</row>
    <row r="145" spans="1:32" ht="35.25" customHeight="1" thickBot="1" x14ac:dyDescent="0.25">
      <c r="A145" s="240" t="s">
        <v>93</v>
      </c>
      <c r="B145" s="241"/>
      <c r="C145" s="241"/>
      <c r="D145" s="241"/>
      <c r="E145" s="241"/>
      <c r="F145" s="241"/>
      <c r="G145" s="242"/>
      <c r="H145" s="26"/>
      <c r="I145" s="26"/>
      <c r="J145" s="26"/>
    </row>
    <row r="146" spans="1:32" ht="15.75" thickBot="1" x14ac:dyDescent="0.3">
      <c r="A146" s="28"/>
      <c r="B146" s="234" t="str">
        <f>+B73</f>
        <v>Successful</v>
      </c>
      <c r="C146" s="235"/>
      <c r="D146" s="236" t="str">
        <f>+D73</f>
        <v>Unsuccessful</v>
      </c>
      <c r="E146" s="237"/>
      <c r="F146" s="238" t="s">
        <v>16</v>
      </c>
      <c r="G146" s="239"/>
      <c r="H146" s="206">
        <f>+H109</f>
        <v>2021</v>
      </c>
      <c r="I146" s="207"/>
      <c r="J146" s="208"/>
      <c r="K146" s="206">
        <f>+K109</f>
        <v>2020</v>
      </c>
      <c r="L146" s="207"/>
      <c r="M146" s="208"/>
      <c r="N146" s="206">
        <f>+N109</f>
        <v>2019</v>
      </c>
      <c r="O146" s="207"/>
      <c r="P146" s="208"/>
      <c r="Q146" s="206">
        <f>+Q109</f>
        <v>2018</v>
      </c>
      <c r="R146" s="207"/>
      <c r="S146" s="208"/>
      <c r="T146" s="206">
        <f>+T109</f>
        <v>2017</v>
      </c>
      <c r="U146" s="207"/>
      <c r="V146" s="208"/>
      <c r="W146" s="209">
        <f>+W109</f>
        <v>2016</v>
      </c>
      <c r="X146" s="210"/>
      <c r="Y146" s="211"/>
      <c r="Z146" s="209">
        <f>+Z109</f>
        <v>2015</v>
      </c>
      <c r="AA146" s="210"/>
      <c r="AB146" s="211"/>
      <c r="AC146" s="173"/>
      <c r="AF146" s="162"/>
    </row>
    <row r="147" spans="1:32" ht="29.25" thickBot="1" x14ac:dyDescent="0.25">
      <c r="A147" s="28"/>
      <c r="B147" s="29" t="s">
        <v>37</v>
      </c>
      <c r="C147" s="30" t="s">
        <v>38</v>
      </c>
      <c r="D147" s="29" t="s">
        <v>37</v>
      </c>
      <c r="E147" s="30" t="s">
        <v>38</v>
      </c>
      <c r="F147" s="29" t="s">
        <v>37</v>
      </c>
      <c r="G147" s="30" t="s">
        <v>38</v>
      </c>
      <c r="H147" s="186" t="s">
        <v>132</v>
      </c>
      <c r="I147" s="187" t="s">
        <v>133</v>
      </c>
      <c r="J147" s="44" t="s">
        <v>16</v>
      </c>
      <c r="K147" s="186" t="s">
        <v>132</v>
      </c>
      <c r="L147" s="187" t="s">
        <v>133</v>
      </c>
      <c r="M147" s="44" t="s">
        <v>16</v>
      </c>
      <c r="N147" s="186" t="s">
        <v>132</v>
      </c>
      <c r="O147" s="187" t="s">
        <v>133</v>
      </c>
      <c r="P147" s="44" t="s">
        <v>16</v>
      </c>
      <c r="Q147" s="186" t="s">
        <v>132</v>
      </c>
      <c r="R147" s="187" t="s">
        <v>133</v>
      </c>
      <c r="S147" s="44" t="s">
        <v>16</v>
      </c>
      <c r="T147" s="186" t="s">
        <v>132</v>
      </c>
      <c r="U147" s="187" t="s">
        <v>133</v>
      </c>
      <c r="V147" s="44" t="s">
        <v>16</v>
      </c>
      <c r="W147" s="186" t="s">
        <v>132</v>
      </c>
      <c r="X147" s="187" t="s">
        <v>133</v>
      </c>
      <c r="Y147" s="44" t="s">
        <v>16</v>
      </c>
      <c r="Z147" s="186" t="s">
        <v>132</v>
      </c>
      <c r="AA147" s="187" t="s">
        <v>133</v>
      </c>
      <c r="AB147" s="44" t="s">
        <v>16</v>
      </c>
    </row>
    <row r="148" spans="1:32" x14ac:dyDescent="0.2">
      <c r="A148" s="98" t="s">
        <v>134</v>
      </c>
      <c r="B148" s="31">
        <f>COUNTIFS(DATA!$L$3:$L$7183,1,DATA!$D$3:$D$7183,260)</f>
        <v>3</v>
      </c>
      <c r="C148" s="35">
        <f>IF(B152=0,0,+B148/B152)</f>
        <v>0.33333333333333331</v>
      </c>
      <c r="D148" s="31">
        <f>COUNTIFS(DATA!$L$3:$L$7183,1,DATA!$D$3:$D$7183,280)</f>
        <v>2</v>
      </c>
      <c r="E148" s="35">
        <f>+D148/D152</f>
        <v>0.1111111111111111</v>
      </c>
      <c r="F148" s="31">
        <f>+D148+B148</f>
        <v>5</v>
      </c>
      <c r="G148" s="35">
        <f>+F148/F152</f>
        <v>0.18518518518518517</v>
      </c>
      <c r="H148" s="181">
        <v>0.1111111111111111</v>
      </c>
      <c r="I148" s="180">
        <v>0.27777777777777779</v>
      </c>
      <c r="J148" s="182">
        <v>0.22222222222222221</v>
      </c>
      <c r="K148" s="181">
        <v>0.22222222222222221</v>
      </c>
      <c r="L148" s="180">
        <v>0.15</v>
      </c>
      <c r="M148" s="182">
        <v>0.17241379310344829</v>
      </c>
      <c r="N148" s="181">
        <v>0.1</v>
      </c>
      <c r="O148" s="180">
        <v>0.18181818181818182</v>
      </c>
      <c r="P148" s="182">
        <v>0.16279069767441862</v>
      </c>
      <c r="Q148" s="181">
        <v>0.22</v>
      </c>
      <c r="R148" s="180">
        <v>0.27</v>
      </c>
      <c r="S148" s="182">
        <v>0.25</v>
      </c>
      <c r="T148" s="181">
        <v>0.16666666666666666</v>
      </c>
      <c r="U148" s="180">
        <v>0.22580645161290322</v>
      </c>
      <c r="V148" s="182">
        <v>0.20408163265306123</v>
      </c>
      <c r="W148" s="181">
        <v>0.46153846153846156</v>
      </c>
      <c r="X148" s="180">
        <v>0.32258064516129031</v>
      </c>
      <c r="Y148" s="182">
        <v>0.36363636363636365</v>
      </c>
      <c r="Z148" s="181">
        <v>0.25</v>
      </c>
      <c r="AA148" s="180">
        <v>0.16</v>
      </c>
      <c r="AB148" s="182">
        <v>0.1891891891891892</v>
      </c>
    </row>
    <row r="149" spans="1:32" ht="29.25" customHeight="1" x14ac:dyDescent="0.2">
      <c r="A149" s="99" t="s">
        <v>135</v>
      </c>
      <c r="B149" s="31">
        <f>COUNTIFS(DATA!$L$3:$L$7183,2,DATA!$D$3:$D$7183,260)</f>
        <v>3</v>
      </c>
      <c r="C149" s="36">
        <f>IF(B152=0,0,+B149/B152)</f>
        <v>0.33333333333333331</v>
      </c>
      <c r="D149" s="42">
        <f>COUNTIFS(DATA!$L$3:$L$7183,2,DATA!$D$3:$D$7183,280)</f>
        <v>14</v>
      </c>
      <c r="E149" s="36">
        <f>+D149/D152</f>
        <v>0.77777777777777779</v>
      </c>
      <c r="F149" s="42">
        <f t="shared" ref="F149:F151" si="75">+D149+B149</f>
        <v>17</v>
      </c>
      <c r="G149" s="36">
        <f>+F149/F152</f>
        <v>0.62962962962962965</v>
      </c>
      <c r="H149" s="181">
        <v>0.55555555555555558</v>
      </c>
      <c r="I149" s="180">
        <v>0.44444444444444442</v>
      </c>
      <c r="J149" s="182">
        <v>0.48148148148148145</v>
      </c>
      <c r="K149" s="181">
        <v>0.77777777777777779</v>
      </c>
      <c r="L149" s="180">
        <v>0.75</v>
      </c>
      <c r="M149" s="182">
        <v>0.75862068965517238</v>
      </c>
      <c r="N149" s="181">
        <v>0.9</v>
      </c>
      <c r="O149" s="180">
        <v>0.42424242424242425</v>
      </c>
      <c r="P149" s="182">
        <v>0.53488372093023251</v>
      </c>
      <c r="Q149" s="181">
        <v>0.61</v>
      </c>
      <c r="R149" s="180">
        <v>0.6</v>
      </c>
      <c r="S149" s="182">
        <v>0.6</v>
      </c>
      <c r="T149" s="181">
        <v>0.66666666666666663</v>
      </c>
      <c r="U149" s="180">
        <v>0.64516129032258063</v>
      </c>
      <c r="V149" s="182">
        <v>0.65306122448979587</v>
      </c>
      <c r="W149" s="181">
        <v>0.38461538461538464</v>
      </c>
      <c r="X149" s="180">
        <v>0.58064516129032262</v>
      </c>
      <c r="Y149" s="182">
        <v>0.52272727272727271</v>
      </c>
      <c r="Z149" s="181">
        <v>0.58333333333333337</v>
      </c>
      <c r="AA149" s="180">
        <v>0.72</v>
      </c>
      <c r="AB149" s="182">
        <v>0.67567567567567566</v>
      </c>
    </row>
    <row r="150" spans="1:32" ht="28.5" customHeight="1" x14ac:dyDescent="0.2">
      <c r="A150" s="92" t="s">
        <v>94</v>
      </c>
      <c r="B150" s="31">
        <f>COUNTIFS(DATA!$L$3:$L$7183,"3",DATA!$D$3:$D$7183,260)</f>
        <v>2</v>
      </c>
      <c r="C150" s="36">
        <f>IF(B152=0,0,+B150/B152)</f>
        <v>0.22222222222222221</v>
      </c>
      <c r="D150" s="42">
        <f>COUNTIFS(DATA!$L$3:$L$7183,"3",DATA!$D$3:$D$7183,280)</f>
        <v>2</v>
      </c>
      <c r="E150" s="36">
        <f>+D150/D152</f>
        <v>0.1111111111111111</v>
      </c>
      <c r="F150" s="42">
        <f t="shared" si="75"/>
        <v>4</v>
      </c>
      <c r="G150" s="36">
        <f>+F150/F152</f>
        <v>0.14814814814814814</v>
      </c>
      <c r="H150" s="181">
        <v>0.33333333333333331</v>
      </c>
      <c r="I150" s="180">
        <v>0.27777777777777779</v>
      </c>
      <c r="J150" s="182">
        <v>0.29629629629629628</v>
      </c>
      <c r="K150" s="181">
        <v>0</v>
      </c>
      <c r="L150" s="180">
        <v>0.1</v>
      </c>
      <c r="M150" s="182">
        <v>6.8965517241379309E-2</v>
      </c>
      <c r="N150" s="181">
        <v>0</v>
      </c>
      <c r="O150" s="180">
        <v>0.27272727272727271</v>
      </c>
      <c r="P150" s="182">
        <v>0.20930232558139536</v>
      </c>
      <c r="Q150" s="181">
        <v>0.11</v>
      </c>
      <c r="R150" s="180">
        <v>7.0000000000000007E-2</v>
      </c>
      <c r="S150" s="182">
        <v>0.08</v>
      </c>
      <c r="T150" s="181">
        <v>0.1111111111111111</v>
      </c>
      <c r="U150" s="180">
        <v>9.6774193548387094E-2</v>
      </c>
      <c r="V150" s="182">
        <v>0.10204081632653061</v>
      </c>
      <c r="W150" s="181">
        <v>0.15384615384615385</v>
      </c>
      <c r="X150" s="180">
        <v>9.6774193548387094E-2</v>
      </c>
      <c r="Y150" s="182">
        <v>0.11363636363636363</v>
      </c>
      <c r="Z150" s="181">
        <v>8.3333333333333329E-2</v>
      </c>
      <c r="AA150" s="180">
        <v>0.12</v>
      </c>
      <c r="AB150" s="182">
        <v>0.10810810810810811</v>
      </c>
    </row>
    <row r="151" spans="1:32" s="41" customFormat="1" ht="15" thickBot="1" x14ac:dyDescent="0.25">
      <c r="A151" s="93" t="s">
        <v>39</v>
      </c>
      <c r="B151" s="31">
        <f>COUNTIFS(DATA!$L$3:$L$7183,"4",DATA!$D$3:$D$7183,260)</f>
        <v>1</v>
      </c>
      <c r="C151" s="36">
        <f>IF(B152=0,0,+B151/B152)</f>
        <v>0.1111111111111111</v>
      </c>
      <c r="D151" s="42">
        <f>COUNTIFS(DATA!$L$3:$L$7183,"4",DATA!$D$3:$D$7183,280)</f>
        <v>0</v>
      </c>
      <c r="E151" s="36">
        <f>+D151/D152</f>
        <v>0</v>
      </c>
      <c r="F151" s="42">
        <f t="shared" si="75"/>
        <v>1</v>
      </c>
      <c r="G151" s="36">
        <f>+F151/F152</f>
        <v>3.7037037037037035E-2</v>
      </c>
      <c r="H151" s="181">
        <v>0</v>
      </c>
      <c r="I151" s="180">
        <v>0</v>
      </c>
      <c r="J151" s="182">
        <v>0</v>
      </c>
      <c r="K151" s="181">
        <v>0</v>
      </c>
      <c r="L151" s="180">
        <v>0</v>
      </c>
      <c r="M151" s="182">
        <v>0</v>
      </c>
      <c r="N151" s="181">
        <v>0</v>
      </c>
      <c r="O151" s="180">
        <v>0.12121212121212122</v>
      </c>
      <c r="P151" s="182">
        <v>9.3023255813953487E-2</v>
      </c>
      <c r="Q151" s="181">
        <v>0.06</v>
      </c>
      <c r="R151" s="180">
        <v>7.0000000000000007E-2</v>
      </c>
      <c r="S151" s="182">
        <v>0.06</v>
      </c>
      <c r="T151" s="181">
        <v>5.5555555555555552E-2</v>
      </c>
      <c r="U151" s="180">
        <v>3.2258064516129031E-2</v>
      </c>
      <c r="V151" s="182">
        <v>4.0816326530612242E-2</v>
      </c>
      <c r="W151" s="181">
        <v>0</v>
      </c>
      <c r="X151" s="180">
        <v>0</v>
      </c>
      <c r="Y151" s="182">
        <v>0</v>
      </c>
      <c r="Z151" s="181">
        <v>8.3333333333333329E-2</v>
      </c>
      <c r="AA151" s="180">
        <v>0</v>
      </c>
      <c r="AB151" s="182">
        <v>2.7027027027027029E-2</v>
      </c>
      <c r="AC151" s="74"/>
      <c r="AF151" s="162"/>
    </row>
    <row r="152" spans="1:32" ht="15.75" thickBot="1" x14ac:dyDescent="0.3">
      <c r="A152" s="111" t="s">
        <v>16</v>
      </c>
      <c r="B152" s="101">
        <f>SUM(B148:B151)</f>
        <v>9</v>
      </c>
      <c r="C152" s="114">
        <f>IF(B152=0,0,+B152/B152)</f>
        <v>1</v>
      </c>
      <c r="D152" s="101">
        <f>SUM(D148:D151)</f>
        <v>18</v>
      </c>
      <c r="E152" s="114">
        <f>+D152/D152</f>
        <v>1</v>
      </c>
      <c r="F152" s="101">
        <f>SUM(F148:F151)</f>
        <v>27</v>
      </c>
      <c r="G152" s="114">
        <f>+F152/F152</f>
        <v>1</v>
      </c>
      <c r="H152" s="183">
        <v>1</v>
      </c>
      <c r="I152" s="184">
        <v>1</v>
      </c>
      <c r="J152" s="185">
        <v>1</v>
      </c>
      <c r="K152" s="183">
        <v>1</v>
      </c>
      <c r="L152" s="184">
        <v>1</v>
      </c>
      <c r="M152" s="185">
        <v>1</v>
      </c>
      <c r="N152" s="183">
        <v>1</v>
      </c>
      <c r="O152" s="184">
        <v>1</v>
      </c>
      <c r="P152" s="185">
        <v>1</v>
      </c>
      <c r="Q152" s="183">
        <v>1</v>
      </c>
      <c r="R152" s="184">
        <v>1</v>
      </c>
      <c r="S152" s="185">
        <v>1</v>
      </c>
      <c r="T152" s="183">
        <v>1</v>
      </c>
      <c r="U152" s="184">
        <v>1</v>
      </c>
      <c r="V152" s="185">
        <v>1</v>
      </c>
      <c r="W152" s="183">
        <v>1</v>
      </c>
      <c r="X152" s="184">
        <v>1</v>
      </c>
      <c r="Y152" s="185">
        <v>1</v>
      </c>
      <c r="Z152" s="183">
        <v>1</v>
      </c>
      <c r="AA152" s="184">
        <v>1</v>
      </c>
      <c r="AB152" s="185">
        <v>1</v>
      </c>
      <c r="AF152" s="162"/>
    </row>
    <row r="153" spans="1:32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</row>
    <row r="154" spans="1:32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</row>
    <row r="155" spans="1:32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27" t="s">
        <v>7095</v>
      </c>
      <c r="L155" s="228"/>
      <c r="M155" s="228"/>
      <c r="N155" s="228"/>
      <c r="O155" s="228"/>
      <c r="P155" s="228"/>
      <c r="Q155" s="228"/>
      <c r="R155" s="228"/>
    </row>
    <row r="156" spans="1:32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124"/>
      <c r="L156" s="124"/>
      <c r="M156" s="124"/>
      <c r="N156" s="163"/>
      <c r="O156" s="123"/>
      <c r="P156" s="122"/>
      <c r="Q156" s="122"/>
      <c r="R156" s="122"/>
    </row>
    <row r="157" spans="1:32" ht="14.25" customHeight="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76" t="s">
        <v>7113</v>
      </c>
      <c r="L157" s="276"/>
      <c r="M157" s="276"/>
      <c r="N157" s="276"/>
      <c r="O157" s="276"/>
      <c r="P157" s="276"/>
      <c r="Q157" s="276"/>
      <c r="R157" s="276"/>
    </row>
    <row r="158" spans="1:32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76"/>
      <c r="L158" s="276"/>
      <c r="M158" s="276"/>
      <c r="N158" s="276"/>
      <c r="O158" s="276"/>
      <c r="P158" s="276"/>
      <c r="Q158" s="276"/>
      <c r="R158" s="276"/>
    </row>
    <row r="159" spans="1:32" ht="14.25" customHeight="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33" t="s">
        <v>7114</v>
      </c>
      <c r="L159" s="233"/>
      <c r="M159" s="233"/>
      <c r="N159" s="233"/>
      <c r="O159" s="233"/>
      <c r="P159" s="233"/>
      <c r="Q159" s="233"/>
      <c r="R159" s="233"/>
    </row>
    <row r="160" spans="1:32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33"/>
      <c r="L160" s="233"/>
      <c r="M160" s="233"/>
      <c r="N160" s="233"/>
      <c r="O160" s="233"/>
      <c r="P160" s="233"/>
      <c r="Q160" s="233"/>
      <c r="R160" s="233"/>
    </row>
    <row r="161" spans="1:10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1:10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</row>
    <row r="163" spans="1:10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</row>
    <row r="164" spans="1:10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</row>
    <row r="165" spans="1:10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</row>
    <row r="166" spans="1:10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</row>
    <row r="167" spans="1:10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</row>
    <row r="168" spans="1:10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</row>
    <row r="169" spans="1:10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</row>
    <row r="170" spans="1:10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spans="1:10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</row>
    <row r="172" spans="1:10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</row>
    <row r="173" spans="1:10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</row>
    <row r="174" spans="1:10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</row>
    <row r="175" spans="1:10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</row>
    <row r="176" spans="1:10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</row>
    <row r="177" spans="1:36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</row>
    <row r="178" spans="1:36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</row>
    <row r="179" spans="1:36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</row>
    <row r="180" spans="1:36" ht="15" thickBot="1" x14ac:dyDescent="0.25">
      <c r="A180" s="26"/>
      <c r="B180" s="26"/>
      <c r="C180" s="26"/>
      <c r="D180" s="26"/>
      <c r="E180" s="26"/>
      <c r="F180" s="26"/>
      <c r="G180" s="26"/>
      <c r="H180" s="74"/>
      <c r="I180" s="74"/>
      <c r="J180" s="74"/>
      <c r="K180" s="26"/>
    </row>
    <row r="181" spans="1:36" ht="36.75" customHeight="1" thickBot="1" x14ac:dyDescent="0.3">
      <c r="A181" s="240" t="s">
        <v>95</v>
      </c>
      <c r="B181" s="241"/>
      <c r="C181" s="241"/>
      <c r="D181" s="241"/>
      <c r="E181" s="241"/>
      <c r="F181" s="241"/>
      <c r="G181" s="242"/>
      <c r="H181" s="165"/>
      <c r="I181" s="165"/>
      <c r="J181" s="165"/>
      <c r="K181" s="74"/>
    </row>
    <row r="182" spans="1:36" ht="15.75" thickBot="1" x14ac:dyDescent="0.3">
      <c r="A182" s="28"/>
      <c r="B182" s="234" t="str">
        <f>+B73</f>
        <v>Successful</v>
      </c>
      <c r="C182" s="235"/>
      <c r="D182" s="236" t="str">
        <f>+D73</f>
        <v>Unsuccessful</v>
      </c>
      <c r="E182" s="237"/>
      <c r="F182" s="238" t="s">
        <v>16</v>
      </c>
      <c r="G182" s="239"/>
      <c r="H182" s="206">
        <f>+H146</f>
        <v>2021</v>
      </c>
      <c r="I182" s="207"/>
      <c r="J182" s="208"/>
      <c r="K182" s="206">
        <f>+K146</f>
        <v>2020</v>
      </c>
      <c r="L182" s="207"/>
      <c r="M182" s="208"/>
      <c r="N182" s="206">
        <f>+N146</f>
        <v>2019</v>
      </c>
      <c r="O182" s="207"/>
      <c r="P182" s="208"/>
      <c r="Q182" s="206">
        <f>+Q146</f>
        <v>2018</v>
      </c>
      <c r="R182" s="207"/>
      <c r="S182" s="208"/>
      <c r="T182" s="206">
        <f>+T146</f>
        <v>2017</v>
      </c>
      <c r="U182" s="207"/>
      <c r="V182" s="208"/>
      <c r="W182" s="209">
        <f>+W146</f>
        <v>2016</v>
      </c>
      <c r="X182" s="210"/>
      <c r="Y182" s="211"/>
      <c r="Z182" s="209">
        <f>+Z146</f>
        <v>2015</v>
      </c>
      <c r="AA182" s="210"/>
      <c r="AB182" s="211"/>
      <c r="AC182" s="264"/>
      <c r="AD182" s="265"/>
      <c r="AE182" s="265"/>
      <c r="AF182" s="265"/>
      <c r="AG182" s="265"/>
      <c r="AH182" s="265"/>
      <c r="AI182" s="265"/>
      <c r="AJ182" s="265"/>
    </row>
    <row r="183" spans="1:36" ht="29.25" customHeight="1" thickBot="1" x14ac:dyDescent="0.25">
      <c r="A183" s="28"/>
      <c r="B183" s="29" t="s">
        <v>37</v>
      </c>
      <c r="C183" s="30" t="s">
        <v>38</v>
      </c>
      <c r="D183" s="29" t="s">
        <v>37</v>
      </c>
      <c r="E183" s="30" t="s">
        <v>38</v>
      </c>
      <c r="F183" s="29" t="s">
        <v>37</v>
      </c>
      <c r="G183" s="30" t="s">
        <v>38</v>
      </c>
      <c r="H183" s="186" t="s">
        <v>132</v>
      </c>
      <c r="I183" s="187" t="s">
        <v>133</v>
      </c>
      <c r="J183" s="44" t="s">
        <v>16</v>
      </c>
      <c r="K183" s="186" t="s">
        <v>132</v>
      </c>
      <c r="L183" s="187" t="s">
        <v>133</v>
      </c>
      <c r="M183" s="44" t="s">
        <v>16</v>
      </c>
      <c r="N183" s="186" t="s">
        <v>132</v>
      </c>
      <c r="O183" s="187" t="s">
        <v>133</v>
      </c>
      <c r="P183" s="44" t="s">
        <v>16</v>
      </c>
      <c r="Q183" s="186" t="s">
        <v>132</v>
      </c>
      <c r="R183" s="187" t="s">
        <v>133</v>
      </c>
      <c r="S183" s="44" t="s">
        <v>16</v>
      </c>
      <c r="T183" s="186" t="s">
        <v>132</v>
      </c>
      <c r="U183" s="187" t="s">
        <v>133</v>
      </c>
      <c r="V183" s="44" t="s">
        <v>16</v>
      </c>
      <c r="W183" s="186" t="s">
        <v>132</v>
      </c>
      <c r="X183" s="187" t="s">
        <v>133</v>
      </c>
      <c r="Y183" s="44" t="s">
        <v>16</v>
      </c>
      <c r="Z183" s="186" t="s">
        <v>132</v>
      </c>
      <c r="AA183" s="187" t="s">
        <v>133</v>
      </c>
      <c r="AB183" s="44" t="s">
        <v>16</v>
      </c>
      <c r="AC183" s="268"/>
      <c r="AD183" s="269"/>
      <c r="AE183" s="269"/>
      <c r="AF183" s="269"/>
      <c r="AG183" s="269"/>
      <c r="AH183" s="269"/>
      <c r="AI183" s="269"/>
      <c r="AJ183" s="269"/>
    </row>
    <row r="184" spans="1:36" x14ac:dyDescent="0.2">
      <c r="A184" s="98" t="s">
        <v>134</v>
      </c>
      <c r="B184" s="31">
        <f>COUNTIFS(DATA!$M$3:$M$7183,1,DATA!$D$3:$D$7183,260)</f>
        <v>0</v>
      </c>
      <c r="C184" s="35">
        <f>IF(B188=0,0,+B184/B188)</f>
        <v>0</v>
      </c>
      <c r="D184" s="31">
        <f>COUNTIFS(DATA!$M$3:$M$7183,1,DATA!$D$3:$D$7183,280)</f>
        <v>0</v>
      </c>
      <c r="E184" s="35">
        <f>+D184/D188</f>
        <v>0</v>
      </c>
      <c r="F184" s="31">
        <f>+D184+B184</f>
        <v>0</v>
      </c>
      <c r="G184" s="35">
        <f>+F184/F188</f>
        <v>0</v>
      </c>
      <c r="H184" s="181">
        <v>0.1111111111111111</v>
      </c>
      <c r="I184" s="180">
        <v>0</v>
      </c>
      <c r="J184" s="182">
        <v>3.7037037037037035E-2</v>
      </c>
      <c r="K184" s="181">
        <v>0.1111111111111111</v>
      </c>
      <c r="L184" s="180">
        <v>0.05</v>
      </c>
      <c r="M184" s="182">
        <v>6.8965517241379309E-2</v>
      </c>
      <c r="N184" s="181">
        <v>0.1</v>
      </c>
      <c r="O184" s="180">
        <v>0.12121212121212122</v>
      </c>
      <c r="P184" s="182">
        <v>0.11627906976744186</v>
      </c>
      <c r="Q184" s="181">
        <v>0.11</v>
      </c>
      <c r="R184" s="180">
        <v>0.1</v>
      </c>
      <c r="S184" s="182">
        <v>0.1</v>
      </c>
      <c r="T184" s="181">
        <v>0.1111111111111111</v>
      </c>
      <c r="U184" s="180">
        <v>0.12903225806451613</v>
      </c>
      <c r="V184" s="182">
        <v>0.12244897959183673</v>
      </c>
      <c r="W184" s="181">
        <v>0</v>
      </c>
      <c r="X184" s="180">
        <v>0.16129032258064516</v>
      </c>
      <c r="Y184" s="182">
        <v>0.11363636363636363</v>
      </c>
      <c r="Z184" s="181">
        <v>0.25</v>
      </c>
      <c r="AA184" s="180">
        <v>0.04</v>
      </c>
      <c r="AB184" s="182">
        <v>0.10810810810810811</v>
      </c>
      <c r="AC184" s="200"/>
      <c r="AD184" s="200"/>
      <c r="AE184" s="200"/>
      <c r="AF184" s="200"/>
      <c r="AG184" s="200"/>
      <c r="AH184" s="200"/>
      <c r="AI184" s="200"/>
      <c r="AJ184" s="200"/>
    </row>
    <row r="185" spans="1:36" ht="28.5" customHeight="1" x14ac:dyDescent="0.2">
      <c r="A185" s="99" t="s">
        <v>135</v>
      </c>
      <c r="B185" s="31">
        <f>COUNTIFS(DATA!$M$3:$M$7183,2,DATA!$D$3:$D$7183,260)</f>
        <v>5</v>
      </c>
      <c r="C185" s="36">
        <f>IF(B188=0,0,+B185/B188)</f>
        <v>0.55555555555555558</v>
      </c>
      <c r="D185" s="42">
        <f>COUNTIFS(DATA!$M$3:$M$7183,2,DATA!$D$3:$D$7183,280)</f>
        <v>15</v>
      </c>
      <c r="E185" s="36">
        <f>+D185/D188</f>
        <v>0.83333333333333337</v>
      </c>
      <c r="F185" s="42">
        <f t="shared" ref="F185:F187" si="76">+D185+B185</f>
        <v>20</v>
      </c>
      <c r="G185" s="36">
        <f>+F185/F188</f>
        <v>0.7407407407407407</v>
      </c>
      <c r="H185" s="181">
        <v>0.88888888888888884</v>
      </c>
      <c r="I185" s="180">
        <v>0.72222222222222221</v>
      </c>
      <c r="J185" s="182">
        <v>0.77777777777777779</v>
      </c>
      <c r="K185" s="181">
        <v>0.66666666666666663</v>
      </c>
      <c r="L185" s="180">
        <v>0.9</v>
      </c>
      <c r="M185" s="182">
        <v>0.82758620689655171</v>
      </c>
      <c r="N185" s="181">
        <v>0.9</v>
      </c>
      <c r="O185" s="180">
        <v>0.48484848484848486</v>
      </c>
      <c r="P185" s="182">
        <v>0.58139534883720934</v>
      </c>
      <c r="Q185" s="181">
        <v>0.78</v>
      </c>
      <c r="R185" s="180">
        <v>0.7</v>
      </c>
      <c r="S185" s="182">
        <v>0.73</v>
      </c>
      <c r="T185" s="181">
        <v>0.66666666666666663</v>
      </c>
      <c r="U185" s="180">
        <v>0.64516129032258063</v>
      </c>
      <c r="V185" s="182">
        <v>0.65306122448979587</v>
      </c>
      <c r="W185" s="181">
        <v>0.61538461538461542</v>
      </c>
      <c r="X185" s="180">
        <v>0.77419354838709675</v>
      </c>
      <c r="Y185" s="182">
        <v>0.72727272727272729</v>
      </c>
      <c r="Z185" s="181">
        <v>0.58333333333333337</v>
      </c>
      <c r="AA185" s="180">
        <v>0.84</v>
      </c>
      <c r="AB185" s="182">
        <v>0.7567567567567568</v>
      </c>
      <c r="AC185" s="266"/>
      <c r="AD185" s="267"/>
      <c r="AE185" s="267"/>
      <c r="AF185" s="267"/>
      <c r="AG185" s="267"/>
      <c r="AH185" s="267"/>
      <c r="AI185" s="267"/>
      <c r="AJ185" s="267"/>
    </row>
    <row r="186" spans="1:36" ht="27.75" customHeight="1" x14ac:dyDescent="0.2">
      <c r="A186" s="92" t="s">
        <v>94</v>
      </c>
      <c r="B186" s="31">
        <f>COUNTIFS(DATA!$M$3:$M$7183,"3",DATA!$D$3:$D$7183,260)</f>
        <v>3</v>
      </c>
      <c r="C186" s="36">
        <f>IF(B188=0,0,+B186/B188)</f>
        <v>0.33333333333333331</v>
      </c>
      <c r="D186" s="42">
        <f>COUNTIFS(DATA!$M$3:$M$7183,"3",DATA!$D$3:$D$7183,280)</f>
        <v>3</v>
      </c>
      <c r="E186" s="36">
        <f>+D186/D188</f>
        <v>0.16666666666666666</v>
      </c>
      <c r="F186" s="42">
        <f t="shared" si="76"/>
        <v>6</v>
      </c>
      <c r="G186" s="36">
        <f>+F186/F188</f>
        <v>0.22222222222222221</v>
      </c>
      <c r="H186" s="181">
        <v>0</v>
      </c>
      <c r="I186" s="180">
        <v>0.27777777777777779</v>
      </c>
      <c r="J186" s="182">
        <v>0.18518518518518517</v>
      </c>
      <c r="K186" s="181">
        <v>0.22222222222222221</v>
      </c>
      <c r="L186" s="180">
        <v>0.05</v>
      </c>
      <c r="M186" s="182">
        <v>0.10344827586206896</v>
      </c>
      <c r="N186" s="181">
        <v>0</v>
      </c>
      <c r="O186" s="180">
        <v>0.27272727272727271</v>
      </c>
      <c r="P186" s="182">
        <v>0.20930232558139536</v>
      </c>
      <c r="Q186" s="181">
        <v>0.06</v>
      </c>
      <c r="R186" s="180">
        <v>0.1</v>
      </c>
      <c r="S186" s="182">
        <v>0.08</v>
      </c>
      <c r="T186" s="181">
        <v>0.22222222222222221</v>
      </c>
      <c r="U186" s="180">
        <v>0.16129032258064516</v>
      </c>
      <c r="V186" s="182">
        <v>0.18367346938775511</v>
      </c>
      <c r="W186" s="181">
        <v>0.30769230769230771</v>
      </c>
      <c r="X186" s="180">
        <v>3.2258064516129031E-2</v>
      </c>
      <c r="Y186" s="182">
        <v>0.11363636363636363</v>
      </c>
      <c r="Z186" s="181">
        <v>8.3333333333333329E-2</v>
      </c>
      <c r="AA186" s="180">
        <v>0.08</v>
      </c>
      <c r="AB186" s="182">
        <v>8.1081081081081086E-2</v>
      </c>
      <c r="AC186" s="266"/>
      <c r="AD186" s="267"/>
      <c r="AE186" s="267"/>
      <c r="AF186" s="267"/>
      <c r="AG186" s="267"/>
      <c r="AH186" s="267"/>
      <c r="AI186" s="267"/>
      <c r="AJ186" s="267"/>
    </row>
    <row r="187" spans="1:36" s="41" customFormat="1" ht="15" thickBot="1" x14ac:dyDescent="0.25">
      <c r="A187" s="93" t="s">
        <v>39</v>
      </c>
      <c r="B187" s="31">
        <f>COUNTIFS(DATA!$M$3:$M$7183,"4",DATA!$D$3:$D$7183,260)</f>
        <v>1</v>
      </c>
      <c r="C187" s="36">
        <f>IF(B188=0,0,+B187/B188)</f>
        <v>0.1111111111111111</v>
      </c>
      <c r="D187" s="42">
        <f>COUNTIFS(DATA!$M$3:$M$7183,"4",DATA!$D$3:$D$7183,280)</f>
        <v>0</v>
      </c>
      <c r="E187" s="36">
        <f>+D187/D188</f>
        <v>0</v>
      </c>
      <c r="F187" s="42">
        <f t="shared" si="76"/>
        <v>1</v>
      </c>
      <c r="G187" s="36">
        <f>+F187/F188</f>
        <v>3.7037037037037035E-2</v>
      </c>
      <c r="H187" s="181">
        <v>0</v>
      </c>
      <c r="I187" s="180">
        <v>0</v>
      </c>
      <c r="J187" s="182">
        <v>0</v>
      </c>
      <c r="K187" s="181">
        <v>0</v>
      </c>
      <c r="L187" s="180">
        <v>0</v>
      </c>
      <c r="M187" s="182">
        <v>0</v>
      </c>
      <c r="N187" s="181">
        <v>0</v>
      </c>
      <c r="O187" s="180">
        <v>0.12121212121212122</v>
      </c>
      <c r="P187" s="182">
        <v>9.3023255813953487E-2</v>
      </c>
      <c r="Q187" s="181">
        <v>0.06</v>
      </c>
      <c r="R187" s="180">
        <v>0.1</v>
      </c>
      <c r="S187" s="182">
        <v>0.08</v>
      </c>
      <c r="T187" s="181">
        <v>0</v>
      </c>
      <c r="U187" s="180">
        <v>6.4516129032258063E-2</v>
      </c>
      <c r="V187" s="182">
        <v>4.0816326530612242E-2</v>
      </c>
      <c r="W187" s="181">
        <v>7.6923076923076927E-2</v>
      </c>
      <c r="X187" s="180">
        <v>3.2258064516129031E-2</v>
      </c>
      <c r="Y187" s="182">
        <v>4.5454545454545456E-2</v>
      </c>
      <c r="Z187" s="181">
        <v>8.3333333333333329E-2</v>
      </c>
      <c r="AA187" s="180">
        <v>0.04</v>
      </c>
      <c r="AB187" s="182">
        <v>5.4054054054054057E-2</v>
      </c>
      <c r="AF187" s="162"/>
    </row>
    <row r="188" spans="1:36" ht="15.75" thickBot="1" x14ac:dyDescent="0.3">
      <c r="A188" s="111" t="s">
        <v>16</v>
      </c>
      <c r="B188" s="101">
        <f>SUM(B184:B187)</f>
        <v>9</v>
      </c>
      <c r="C188" s="114">
        <f>IF(B188=0,0,+B188/B188)</f>
        <v>1</v>
      </c>
      <c r="D188" s="101">
        <f>SUM(D184:D187)</f>
        <v>18</v>
      </c>
      <c r="E188" s="114">
        <f>+D188/D188</f>
        <v>1</v>
      </c>
      <c r="F188" s="101">
        <f>SUM(F184:F187)</f>
        <v>27</v>
      </c>
      <c r="G188" s="114">
        <f>+F188/F188</f>
        <v>1</v>
      </c>
      <c r="H188" s="183">
        <v>1</v>
      </c>
      <c r="I188" s="184">
        <v>1</v>
      </c>
      <c r="J188" s="185">
        <v>1</v>
      </c>
      <c r="K188" s="183">
        <v>1</v>
      </c>
      <c r="L188" s="184">
        <v>1</v>
      </c>
      <c r="M188" s="185">
        <v>1</v>
      </c>
      <c r="N188" s="183">
        <v>1</v>
      </c>
      <c r="O188" s="184">
        <v>1</v>
      </c>
      <c r="P188" s="185">
        <v>1</v>
      </c>
      <c r="Q188" s="183">
        <v>1</v>
      </c>
      <c r="R188" s="184">
        <v>1</v>
      </c>
      <c r="S188" s="185">
        <v>1</v>
      </c>
      <c r="T188" s="183">
        <v>1</v>
      </c>
      <c r="U188" s="184">
        <v>1</v>
      </c>
      <c r="V188" s="185">
        <v>1</v>
      </c>
      <c r="W188" s="183">
        <v>1</v>
      </c>
      <c r="X188" s="184">
        <v>1</v>
      </c>
      <c r="Y188" s="185">
        <v>1</v>
      </c>
      <c r="Z188" s="183">
        <v>1</v>
      </c>
      <c r="AA188" s="184">
        <v>1</v>
      </c>
      <c r="AB188" s="185">
        <v>1</v>
      </c>
      <c r="AF188" s="162"/>
    </row>
    <row r="189" spans="1:36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36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36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36" ht="14.25" customHeight="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27" t="s">
        <v>7096</v>
      </c>
      <c r="L192" s="228"/>
      <c r="M192" s="228"/>
      <c r="N192" s="228"/>
      <c r="O192" s="228"/>
      <c r="P192" s="228"/>
      <c r="Q192" s="228"/>
      <c r="R192" s="228"/>
    </row>
    <row r="193" spans="1:18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162"/>
      <c r="L193" s="162"/>
      <c r="M193" s="162"/>
      <c r="O193" s="162"/>
      <c r="P193" s="162"/>
      <c r="Q193" s="162"/>
      <c r="R193" s="162"/>
    </row>
    <row r="194" spans="1:18" ht="28.5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30" t="s">
        <v>7115</v>
      </c>
      <c r="L194" s="231"/>
      <c r="M194" s="231"/>
      <c r="N194" s="231"/>
      <c r="O194" s="231"/>
      <c r="P194" s="231"/>
      <c r="Q194" s="231"/>
      <c r="R194" s="231"/>
    </row>
    <row r="195" spans="1:18" ht="28.5" customHeight="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32" t="s">
        <v>7116</v>
      </c>
      <c r="L195" s="233"/>
      <c r="M195" s="233"/>
      <c r="N195" s="233"/>
      <c r="O195" s="233"/>
      <c r="P195" s="233"/>
      <c r="Q195" s="233"/>
      <c r="R195" s="233"/>
    </row>
    <row r="196" spans="1:18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1:18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1:18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1:18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1:18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1:18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1:18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1:18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1:18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1:18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1:18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1:18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1:18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1:32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1:32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1:32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1:32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1:32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1:32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1:32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1:32" ht="1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</row>
    <row r="217" spans="1:32" ht="42" customHeight="1" thickBot="1" x14ac:dyDescent="0.3">
      <c r="A217" s="240" t="s">
        <v>96</v>
      </c>
      <c r="B217" s="241"/>
      <c r="C217" s="241"/>
      <c r="D217" s="241"/>
      <c r="E217" s="241"/>
      <c r="F217" s="241"/>
      <c r="G217" s="242"/>
      <c r="H217" s="165"/>
      <c r="I217" s="165"/>
      <c r="J217" s="165"/>
    </row>
    <row r="218" spans="1:32" ht="16.5" customHeight="1" thickBot="1" x14ac:dyDescent="0.3">
      <c r="A218" s="28"/>
      <c r="B218" s="234" t="str">
        <f>+B73</f>
        <v>Successful</v>
      </c>
      <c r="C218" s="235"/>
      <c r="D218" s="236" t="str">
        <f>+D73</f>
        <v>Unsuccessful</v>
      </c>
      <c r="E218" s="237"/>
      <c r="F218" s="238" t="s">
        <v>16</v>
      </c>
      <c r="G218" s="239"/>
      <c r="H218" s="206">
        <f>+H182</f>
        <v>2021</v>
      </c>
      <c r="I218" s="207"/>
      <c r="J218" s="208"/>
      <c r="K218" s="206">
        <f>+K182</f>
        <v>2020</v>
      </c>
      <c r="L218" s="207"/>
      <c r="M218" s="208"/>
      <c r="N218" s="206">
        <f>+N182</f>
        <v>2019</v>
      </c>
      <c r="O218" s="207"/>
      <c r="P218" s="208"/>
      <c r="Q218" s="206">
        <f>+Q182</f>
        <v>2018</v>
      </c>
      <c r="R218" s="207"/>
      <c r="S218" s="208"/>
      <c r="T218" s="206">
        <f>+T182</f>
        <v>2017</v>
      </c>
      <c r="U218" s="207"/>
      <c r="V218" s="208"/>
      <c r="W218" s="209">
        <f>+W182</f>
        <v>2016</v>
      </c>
      <c r="X218" s="210"/>
      <c r="Y218" s="211"/>
      <c r="Z218" s="209">
        <f>+Z182</f>
        <v>2015</v>
      </c>
      <c r="AA218" s="210"/>
      <c r="AB218" s="211"/>
      <c r="AF218" s="162"/>
    </row>
    <row r="219" spans="1:32" ht="29.25" customHeight="1" thickBot="1" x14ac:dyDescent="0.25">
      <c r="A219" s="28"/>
      <c r="B219" s="29" t="s">
        <v>37</v>
      </c>
      <c r="C219" s="30" t="s">
        <v>38</v>
      </c>
      <c r="D219" s="29" t="s">
        <v>37</v>
      </c>
      <c r="E219" s="30" t="s">
        <v>38</v>
      </c>
      <c r="F219" s="29" t="s">
        <v>37</v>
      </c>
      <c r="G219" s="30" t="s">
        <v>38</v>
      </c>
      <c r="H219" s="186" t="s">
        <v>132</v>
      </c>
      <c r="I219" s="187" t="s">
        <v>133</v>
      </c>
      <c r="J219" s="44" t="s">
        <v>16</v>
      </c>
      <c r="K219" s="186" t="s">
        <v>132</v>
      </c>
      <c r="L219" s="187" t="s">
        <v>133</v>
      </c>
      <c r="M219" s="44" t="s">
        <v>16</v>
      </c>
      <c r="N219" s="186" t="s">
        <v>132</v>
      </c>
      <c r="O219" s="187" t="s">
        <v>133</v>
      </c>
      <c r="P219" s="44" t="s">
        <v>16</v>
      </c>
      <c r="Q219" s="186" t="s">
        <v>132</v>
      </c>
      <c r="R219" s="187" t="s">
        <v>133</v>
      </c>
      <c r="S219" s="44" t="s">
        <v>16</v>
      </c>
      <c r="T219" s="186" t="s">
        <v>132</v>
      </c>
      <c r="U219" s="187" t="s">
        <v>133</v>
      </c>
      <c r="V219" s="44" t="s">
        <v>16</v>
      </c>
      <c r="W219" s="186" t="s">
        <v>132</v>
      </c>
      <c r="X219" s="187" t="s">
        <v>133</v>
      </c>
      <c r="Y219" s="44" t="s">
        <v>16</v>
      </c>
      <c r="Z219" s="186" t="s">
        <v>132</v>
      </c>
      <c r="AA219" s="187" t="s">
        <v>133</v>
      </c>
      <c r="AB219" s="44" t="s">
        <v>16</v>
      </c>
    </row>
    <row r="220" spans="1:32" x14ac:dyDescent="0.2">
      <c r="A220" s="98" t="s">
        <v>134</v>
      </c>
      <c r="B220" s="31">
        <f>COUNTIFS(DATA!$N$3:$N$7183,1,DATA!$D$3:$D$7183,260)</f>
        <v>1</v>
      </c>
      <c r="C220" s="35">
        <f>IF(B224=0,0,+B220/B224)</f>
        <v>0.1111111111111111</v>
      </c>
      <c r="D220" s="31">
        <f>COUNTIFS(DATA!$N$3:$N$7183,1,DATA!$D$3:$D$7183,280)</f>
        <v>0</v>
      </c>
      <c r="E220" s="35">
        <f>+D220/D224</f>
        <v>0</v>
      </c>
      <c r="F220" s="31">
        <f>+D220+B220</f>
        <v>1</v>
      </c>
      <c r="G220" s="35">
        <f>+F220/F224</f>
        <v>3.7037037037037035E-2</v>
      </c>
      <c r="H220" s="181">
        <v>0.1111111111111111</v>
      </c>
      <c r="I220" s="180">
        <v>0.16666666666666666</v>
      </c>
      <c r="J220" s="182">
        <v>0.14814814814814814</v>
      </c>
      <c r="K220" s="181">
        <v>0.44444444444444442</v>
      </c>
      <c r="L220" s="180">
        <v>0.1</v>
      </c>
      <c r="M220" s="182">
        <v>0.20689655172413793</v>
      </c>
      <c r="N220" s="181">
        <v>0.1</v>
      </c>
      <c r="O220" s="180">
        <v>3.0303030303030304E-2</v>
      </c>
      <c r="P220" s="182">
        <v>4.6511627906976744E-2</v>
      </c>
      <c r="Q220" s="181">
        <v>0.06</v>
      </c>
      <c r="R220" s="180">
        <v>0.13</v>
      </c>
      <c r="S220" s="182">
        <v>0.1</v>
      </c>
      <c r="T220" s="181">
        <v>0.22222222222222221</v>
      </c>
      <c r="U220" s="180">
        <v>0.25806451612903225</v>
      </c>
      <c r="V220" s="182">
        <v>0.24489795918367346</v>
      </c>
      <c r="W220" s="181">
        <v>7.6923076923076927E-2</v>
      </c>
      <c r="X220" s="180">
        <v>0.16129032258064516</v>
      </c>
      <c r="Y220" s="182">
        <v>0.13636363636363635</v>
      </c>
      <c r="Z220" s="181">
        <v>0.16666666666666666</v>
      </c>
      <c r="AA220" s="180">
        <v>0.12</v>
      </c>
      <c r="AB220" s="182">
        <v>0.13513513513513514</v>
      </c>
    </row>
    <row r="221" spans="1:32" ht="28.5" customHeight="1" x14ac:dyDescent="0.2">
      <c r="A221" s="99" t="s">
        <v>135</v>
      </c>
      <c r="B221" s="31">
        <f>COUNTIFS(DATA!$N$3:$N$7183,2,DATA!$D$3:$D$7183,260)</f>
        <v>4</v>
      </c>
      <c r="C221" s="36">
        <f>IF(B224=0,0,+B221/B224)</f>
        <v>0.44444444444444442</v>
      </c>
      <c r="D221" s="42">
        <f>COUNTIFS(DATA!$N$3:$N$7183,2,DATA!$D$3:$D$7183,280)</f>
        <v>15</v>
      </c>
      <c r="E221" s="36">
        <f>+D221/D224</f>
        <v>0.83333333333333337</v>
      </c>
      <c r="F221" s="42">
        <f t="shared" ref="F221:F223" si="77">+D221+B221</f>
        <v>19</v>
      </c>
      <c r="G221" s="36">
        <f>+F221/F224</f>
        <v>0.70370370370370372</v>
      </c>
      <c r="H221" s="181">
        <v>0.77777777777777779</v>
      </c>
      <c r="I221" s="180">
        <v>0.55555555555555558</v>
      </c>
      <c r="J221" s="182">
        <v>0.62962962962962965</v>
      </c>
      <c r="K221" s="181">
        <v>0.55555555555555558</v>
      </c>
      <c r="L221" s="180">
        <v>0.8</v>
      </c>
      <c r="M221" s="182">
        <v>0.72413793103448276</v>
      </c>
      <c r="N221" s="181">
        <v>0.7</v>
      </c>
      <c r="O221" s="180">
        <v>0.60606060606060608</v>
      </c>
      <c r="P221" s="182">
        <v>0.62790697674418605</v>
      </c>
      <c r="Q221" s="181">
        <v>0.78</v>
      </c>
      <c r="R221" s="180">
        <v>0.5</v>
      </c>
      <c r="S221" s="182">
        <v>0.28999999999999998</v>
      </c>
      <c r="T221" s="181">
        <v>0.55555555555555558</v>
      </c>
      <c r="U221" s="180">
        <v>0.58064516129032262</v>
      </c>
      <c r="V221" s="182">
        <v>0.5714285714285714</v>
      </c>
      <c r="W221" s="181">
        <v>0.46153846153846156</v>
      </c>
      <c r="X221" s="180">
        <v>0.67741935483870963</v>
      </c>
      <c r="Y221" s="182">
        <v>0.61363636363636365</v>
      </c>
      <c r="Z221" s="181">
        <v>0.58333333333333337</v>
      </c>
      <c r="AA221" s="180">
        <v>0.8</v>
      </c>
      <c r="AB221" s="182">
        <v>0.72972972972972971</v>
      </c>
    </row>
    <row r="222" spans="1:32" ht="28.5" customHeight="1" x14ac:dyDescent="0.2">
      <c r="A222" s="92" t="s">
        <v>94</v>
      </c>
      <c r="B222" s="31">
        <f>COUNTIFS(DATA!$N$3:$N$7183,"3",DATA!$D$3:$D$7183,260)</f>
        <v>3</v>
      </c>
      <c r="C222" s="36">
        <f>IF(B224=0,0,+B222/B224)</f>
        <v>0.33333333333333331</v>
      </c>
      <c r="D222" s="42">
        <f>COUNTIFS(DATA!$N$3:$N$7183,"3",DATA!$D$3:$D$7183,280)</f>
        <v>3</v>
      </c>
      <c r="E222" s="36">
        <f>+D222/D224</f>
        <v>0.16666666666666666</v>
      </c>
      <c r="F222" s="42">
        <f t="shared" si="77"/>
        <v>6</v>
      </c>
      <c r="G222" s="36">
        <f>+F222/F224</f>
        <v>0.22222222222222221</v>
      </c>
      <c r="H222" s="181">
        <v>0.1111111111111111</v>
      </c>
      <c r="I222" s="180">
        <v>0.27777777777777779</v>
      </c>
      <c r="J222" s="182">
        <v>0.22222222222222221</v>
      </c>
      <c r="K222" s="181">
        <v>0</v>
      </c>
      <c r="L222" s="180">
        <v>0.1</v>
      </c>
      <c r="M222" s="182">
        <v>6.8965517241379309E-2</v>
      </c>
      <c r="N222" s="181">
        <v>0.2</v>
      </c>
      <c r="O222" s="180">
        <v>0.24242424242424243</v>
      </c>
      <c r="P222" s="182">
        <v>0.23255813953488372</v>
      </c>
      <c r="Q222" s="181">
        <v>0.11</v>
      </c>
      <c r="R222" s="180">
        <v>0.23</v>
      </c>
      <c r="S222" s="182">
        <v>0.19</v>
      </c>
      <c r="T222" s="181">
        <v>0.16666666666666666</v>
      </c>
      <c r="U222" s="180">
        <v>9.6774193548387094E-2</v>
      </c>
      <c r="V222" s="182">
        <v>0.12244897959183673</v>
      </c>
      <c r="W222" s="181">
        <v>0.30769230769230771</v>
      </c>
      <c r="X222" s="180">
        <v>0.12903225806451613</v>
      </c>
      <c r="Y222" s="182">
        <v>0.18181818181818182</v>
      </c>
      <c r="Z222" s="181">
        <v>0.16666666666666666</v>
      </c>
      <c r="AA222" s="180">
        <v>0.08</v>
      </c>
      <c r="AB222" s="182">
        <v>0.10810810810810811</v>
      </c>
    </row>
    <row r="223" spans="1:32" s="41" customFormat="1" ht="15" thickBot="1" x14ac:dyDescent="0.25">
      <c r="A223" s="93" t="s">
        <v>39</v>
      </c>
      <c r="B223" s="31">
        <f>COUNTIFS(DATA!$N$3:$N$7183,"4",DATA!$D$3:$D$7183,260)</f>
        <v>1</v>
      </c>
      <c r="C223" s="36">
        <f>IF(B224=0,0,+B223/B224)</f>
        <v>0.1111111111111111</v>
      </c>
      <c r="D223" s="42">
        <f>COUNTIFS(DATA!$N$3:$N$7183,"4",DATA!$D$3:$D$7183,280)</f>
        <v>0</v>
      </c>
      <c r="E223" s="36">
        <f>+D223/D224</f>
        <v>0</v>
      </c>
      <c r="F223" s="42">
        <f t="shared" si="77"/>
        <v>1</v>
      </c>
      <c r="G223" s="36">
        <f>+F223/F224</f>
        <v>3.7037037037037035E-2</v>
      </c>
      <c r="H223" s="181">
        <v>0</v>
      </c>
      <c r="I223" s="180">
        <v>0</v>
      </c>
      <c r="J223" s="182">
        <v>0</v>
      </c>
      <c r="K223" s="181">
        <v>0</v>
      </c>
      <c r="L223" s="180">
        <v>0</v>
      </c>
      <c r="M223" s="182">
        <v>0</v>
      </c>
      <c r="N223" s="181">
        <v>0</v>
      </c>
      <c r="O223" s="180">
        <v>0.12121212121212122</v>
      </c>
      <c r="P223" s="182">
        <v>9.3023255813953487E-2</v>
      </c>
      <c r="Q223" s="181">
        <v>0.06</v>
      </c>
      <c r="R223" s="180">
        <v>0.13</v>
      </c>
      <c r="S223" s="182">
        <v>0.1</v>
      </c>
      <c r="T223" s="181">
        <v>5.5555555555555552E-2</v>
      </c>
      <c r="U223" s="180">
        <v>6.4516129032258063E-2</v>
      </c>
      <c r="V223" s="182">
        <v>6.1224489795918366E-2</v>
      </c>
      <c r="W223" s="181">
        <v>0.15384615384615385</v>
      </c>
      <c r="X223" s="180">
        <v>3.2258064516129031E-2</v>
      </c>
      <c r="Y223" s="182">
        <v>6.8181818181818177E-2</v>
      </c>
      <c r="Z223" s="181">
        <v>8.3333333333333329E-2</v>
      </c>
      <c r="AA223" s="180">
        <v>0</v>
      </c>
      <c r="AB223" s="182">
        <v>2.7027027027027029E-2</v>
      </c>
      <c r="AF223" s="162"/>
    </row>
    <row r="224" spans="1:32" ht="15.75" thickBot="1" x14ac:dyDescent="0.3">
      <c r="A224" s="111" t="s">
        <v>16</v>
      </c>
      <c r="B224" s="101">
        <f>SUM(B220:B223)</f>
        <v>9</v>
      </c>
      <c r="C224" s="114">
        <f>IF(B224=0,0,+B224/B224)</f>
        <v>1</v>
      </c>
      <c r="D224" s="101">
        <f>SUM(D220:D223)</f>
        <v>18</v>
      </c>
      <c r="E224" s="114">
        <f>+D224/D224</f>
        <v>1</v>
      </c>
      <c r="F224" s="101">
        <f>SUM(F220:F223)</f>
        <v>27</v>
      </c>
      <c r="G224" s="114">
        <f>+F224/F224</f>
        <v>1</v>
      </c>
      <c r="H224" s="183">
        <v>1</v>
      </c>
      <c r="I224" s="184">
        <v>1</v>
      </c>
      <c r="J224" s="185">
        <v>1</v>
      </c>
      <c r="K224" s="183">
        <v>1</v>
      </c>
      <c r="L224" s="184">
        <v>1</v>
      </c>
      <c r="M224" s="185">
        <v>1</v>
      </c>
      <c r="N224" s="183">
        <v>1</v>
      </c>
      <c r="O224" s="184">
        <v>1</v>
      </c>
      <c r="P224" s="185">
        <v>1</v>
      </c>
      <c r="Q224" s="183">
        <v>1</v>
      </c>
      <c r="R224" s="184">
        <v>1</v>
      </c>
      <c r="S224" s="185">
        <v>1</v>
      </c>
      <c r="T224" s="183">
        <v>1</v>
      </c>
      <c r="U224" s="184">
        <v>1</v>
      </c>
      <c r="V224" s="185">
        <v>1</v>
      </c>
      <c r="W224" s="183">
        <v>1</v>
      </c>
      <c r="X224" s="184">
        <v>1</v>
      </c>
      <c r="Y224" s="185">
        <v>1</v>
      </c>
      <c r="Z224" s="183">
        <v>1</v>
      </c>
      <c r="AA224" s="184">
        <v>1</v>
      </c>
      <c r="AB224" s="185">
        <v>1</v>
      </c>
      <c r="AF224" s="162"/>
    </row>
    <row r="225" spans="1:18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</row>
    <row r="226" spans="1:18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</row>
    <row r="227" spans="1:18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</row>
    <row r="228" spans="1:18" ht="14.25" customHeight="1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27" t="s">
        <v>7096</v>
      </c>
      <c r="L228" s="228"/>
      <c r="M228" s="228"/>
      <c r="N228" s="228"/>
      <c r="O228" s="228"/>
      <c r="P228" s="228"/>
      <c r="Q228" s="228"/>
      <c r="R228" s="228"/>
    </row>
    <row r="229" spans="1:18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</row>
    <row r="230" spans="1:18" ht="14.25" customHeight="1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19" t="s">
        <v>7117</v>
      </c>
      <c r="L230" s="219"/>
      <c r="M230" s="219"/>
      <c r="N230" s="219"/>
      <c r="O230" s="219"/>
      <c r="P230" s="219"/>
      <c r="Q230" s="219"/>
      <c r="R230" s="219"/>
    </row>
    <row r="231" spans="1:18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19"/>
      <c r="L231" s="219"/>
      <c r="M231" s="219"/>
      <c r="N231" s="219"/>
      <c r="O231" s="219"/>
      <c r="P231" s="219"/>
      <c r="Q231" s="219"/>
      <c r="R231" s="219"/>
    </row>
    <row r="232" spans="1:18" ht="14.25" customHeight="1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15" t="s">
        <v>7118</v>
      </c>
      <c r="L232" s="215"/>
      <c r="M232" s="215"/>
      <c r="N232" s="215"/>
      <c r="O232" s="215"/>
      <c r="P232" s="215"/>
      <c r="Q232" s="215"/>
      <c r="R232" s="215"/>
    </row>
    <row r="233" spans="1:18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15"/>
      <c r="L233" s="215"/>
      <c r="M233" s="215"/>
      <c r="N233" s="215"/>
      <c r="O233" s="215"/>
      <c r="P233" s="215"/>
      <c r="Q233" s="215"/>
      <c r="R233" s="215"/>
    </row>
    <row r="234" spans="1:18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</row>
    <row r="235" spans="1:18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</row>
    <row r="236" spans="1:18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</row>
    <row r="237" spans="1:18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</row>
    <row r="238" spans="1:18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</row>
    <row r="239" spans="1:18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</row>
    <row r="240" spans="1:18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</row>
    <row r="241" spans="1:33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</row>
    <row r="242" spans="1:33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</row>
    <row r="243" spans="1:33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</row>
    <row r="244" spans="1:33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</row>
    <row r="245" spans="1:33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</row>
    <row r="246" spans="1:33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</row>
    <row r="247" spans="1:33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</row>
    <row r="248" spans="1:33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</row>
    <row r="249" spans="1:33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</row>
    <row r="250" spans="1:33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</row>
    <row r="251" spans="1:33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33" ht="15" thickBot="1" x14ac:dyDescent="0.25">
      <c r="A252" s="26"/>
      <c r="B252" s="26"/>
      <c r="C252" s="26"/>
      <c r="D252" s="26"/>
      <c r="E252" s="26"/>
      <c r="F252" s="26"/>
      <c r="G252" s="26"/>
      <c r="H252" s="74"/>
      <c r="I252" s="74"/>
      <c r="J252" s="74"/>
      <c r="K252" s="74"/>
    </row>
    <row r="253" spans="1:33" ht="39.75" customHeight="1" thickBot="1" x14ac:dyDescent="0.3">
      <c r="A253" s="240" t="s">
        <v>97</v>
      </c>
      <c r="B253" s="241"/>
      <c r="C253" s="241"/>
      <c r="D253" s="241"/>
      <c r="E253" s="241"/>
      <c r="F253" s="241"/>
      <c r="G253" s="242"/>
      <c r="H253" s="165"/>
      <c r="I253" s="165"/>
      <c r="J253" s="165"/>
      <c r="K253" s="165"/>
    </row>
    <row r="254" spans="1:33" ht="15.75" thickBot="1" x14ac:dyDescent="0.3">
      <c r="A254" s="28"/>
      <c r="B254" s="234" t="str">
        <f>+B73</f>
        <v>Successful</v>
      </c>
      <c r="C254" s="235"/>
      <c r="D254" s="236" t="str">
        <f>+D73</f>
        <v>Unsuccessful</v>
      </c>
      <c r="E254" s="237"/>
      <c r="F254" s="238" t="s">
        <v>16</v>
      </c>
      <c r="G254" s="239"/>
      <c r="H254" s="206">
        <f>+H218</f>
        <v>2021</v>
      </c>
      <c r="I254" s="207"/>
      <c r="J254" s="208"/>
      <c r="K254" s="206">
        <f>+K218</f>
        <v>2020</v>
      </c>
      <c r="L254" s="207"/>
      <c r="M254" s="208"/>
      <c r="N254" s="206">
        <f>+N218</f>
        <v>2019</v>
      </c>
      <c r="O254" s="207"/>
      <c r="P254" s="208"/>
      <c r="Q254" s="206">
        <f>+Q218</f>
        <v>2018</v>
      </c>
      <c r="R254" s="207"/>
      <c r="S254" s="208"/>
      <c r="T254" s="206">
        <f>+T218</f>
        <v>2017</v>
      </c>
      <c r="U254" s="207"/>
      <c r="V254" s="208"/>
      <c r="W254" s="209">
        <f>+W218</f>
        <v>2016</v>
      </c>
      <c r="X254" s="210"/>
      <c r="Y254" s="211"/>
      <c r="Z254" s="209">
        <f>+Z218</f>
        <v>2015</v>
      </c>
      <c r="AA254" s="210"/>
      <c r="AB254" s="211"/>
      <c r="AC254" s="165"/>
      <c r="AD254" s="162"/>
      <c r="AE254" s="162"/>
      <c r="AF254" s="162"/>
      <c r="AG254" s="162"/>
    </row>
    <row r="255" spans="1:33" ht="29.25" customHeight="1" thickBot="1" x14ac:dyDescent="0.25">
      <c r="A255" s="28"/>
      <c r="B255" s="29" t="s">
        <v>37</v>
      </c>
      <c r="C255" s="30" t="s">
        <v>38</v>
      </c>
      <c r="D255" s="29" t="s">
        <v>37</v>
      </c>
      <c r="E255" s="30" t="s">
        <v>38</v>
      </c>
      <c r="F255" s="29" t="s">
        <v>37</v>
      </c>
      <c r="G255" s="30" t="s">
        <v>38</v>
      </c>
      <c r="H255" s="186" t="s">
        <v>132</v>
      </c>
      <c r="I255" s="187" t="s">
        <v>133</v>
      </c>
      <c r="J255" s="44" t="s">
        <v>16</v>
      </c>
      <c r="K255" s="186" t="s">
        <v>132</v>
      </c>
      <c r="L255" s="187" t="s">
        <v>133</v>
      </c>
      <c r="M255" s="44" t="s">
        <v>16</v>
      </c>
      <c r="N255" s="186" t="s">
        <v>132</v>
      </c>
      <c r="O255" s="187" t="s">
        <v>133</v>
      </c>
      <c r="P255" s="44" t="s">
        <v>16</v>
      </c>
      <c r="Q255" s="186" t="s">
        <v>132</v>
      </c>
      <c r="R255" s="187" t="s">
        <v>133</v>
      </c>
      <c r="S255" s="44" t="s">
        <v>16</v>
      </c>
      <c r="T255" s="186" t="s">
        <v>132</v>
      </c>
      <c r="U255" s="187" t="s">
        <v>133</v>
      </c>
      <c r="V255" s="44" t="s">
        <v>16</v>
      </c>
      <c r="W255" s="186" t="s">
        <v>132</v>
      </c>
      <c r="X255" s="187" t="s">
        <v>133</v>
      </c>
      <c r="Y255" s="44" t="s">
        <v>16</v>
      </c>
      <c r="Z255" s="186" t="s">
        <v>132</v>
      </c>
      <c r="AA255" s="187" t="s">
        <v>133</v>
      </c>
      <c r="AB255" s="44" t="s">
        <v>16</v>
      </c>
    </row>
    <row r="256" spans="1:33" x14ac:dyDescent="0.2">
      <c r="A256" s="98" t="s">
        <v>134</v>
      </c>
      <c r="B256" s="31">
        <f>COUNTIFS(DATA!$O$3:$O$7183,1,DATA!$D$3:$D$7183,260)</f>
        <v>183</v>
      </c>
      <c r="C256" s="35">
        <f t="shared" ref="C256:C261" si="78">+B256/$B$261</f>
        <v>0.79912663755458513</v>
      </c>
      <c r="D256" s="31">
        <f>COUNTIFS(DATA!$O$3:$O$7183,1,DATA!$D$3:$D$7183,280)</f>
        <v>59</v>
      </c>
      <c r="E256" s="35">
        <f t="shared" ref="E256:E261" si="79">+D256/$D$261</f>
        <v>0.60824742268041232</v>
      </c>
      <c r="F256" s="31">
        <f>+D256+B256</f>
        <v>242</v>
      </c>
      <c r="G256" s="35">
        <f t="shared" ref="G256:G261" si="80">+F256/$F$261</f>
        <v>0.74233128834355833</v>
      </c>
      <c r="H256" s="181">
        <v>0.84541062801932365</v>
      </c>
      <c r="I256" s="180">
        <v>0.54347826086956519</v>
      </c>
      <c r="J256" s="182">
        <v>0.75250836120401343</v>
      </c>
      <c r="K256" s="181">
        <v>0.79116465863453811</v>
      </c>
      <c r="L256" s="180">
        <v>0.69343065693430661</v>
      </c>
      <c r="M256" s="182">
        <v>0.75647668393782386</v>
      </c>
      <c r="N256" s="181">
        <v>0.81638418079096042</v>
      </c>
      <c r="O256" s="180">
        <v>0.55000000000000004</v>
      </c>
      <c r="P256" s="182">
        <v>0.7334630350194552</v>
      </c>
      <c r="Q256" s="181">
        <v>0.75</v>
      </c>
      <c r="R256" s="180">
        <v>0.64</v>
      </c>
      <c r="S256" s="182">
        <v>0.72</v>
      </c>
      <c r="T256" s="181">
        <v>0.6902356902356902</v>
      </c>
      <c r="U256" s="180">
        <v>0.63580246913580252</v>
      </c>
      <c r="V256" s="182">
        <v>0.67102396514161222</v>
      </c>
      <c r="W256" s="181">
        <v>0.76246334310850439</v>
      </c>
      <c r="X256" s="180">
        <v>0.59027777777777779</v>
      </c>
      <c r="Y256" s="182">
        <v>0.71134020618556704</v>
      </c>
      <c r="Z256" s="181">
        <v>0.79585798816568043</v>
      </c>
      <c r="AA256" s="180">
        <v>0.51401869158878499</v>
      </c>
      <c r="AB256" s="182">
        <v>0.72853828306264501</v>
      </c>
    </row>
    <row r="257" spans="1:32" x14ac:dyDescent="0.2">
      <c r="A257" s="92" t="s">
        <v>89</v>
      </c>
      <c r="B257" s="31">
        <f>COUNTIFS(DATA!$O$3:$O$7183,2,DATA!$D$3:$D$7183,260)</f>
        <v>30</v>
      </c>
      <c r="C257" s="36">
        <f t="shared" si="78"/>
        <v>0.13100436681222707</v>
      </c>
      <c r="D257" s="42">
        <f>COUNTIFS(DATA!$O$3:$O$7183,2,DATA!$D$3:$D$7183,280)</f>
        <v>16</v>
      </c>
      <c r="E257" s="36">
        <f t="shared" si="79"/>
        <v>0.16494845360824742</v>
      </c>
      <c r="F257" s="42">
        <f t="shared" ref="F257:F259" si="81">+D257+B257</f>
        <v>46</v>
      </c>
      <c r="G257" s="36">
        <f t="shared" si="80"/>
        <v>0.1411042944785276</v>
      </c>
      <c r="H257" s="181">
        <v>9.6618357487922704E-2</v>
      </c>
      <c r="I257" s="180">
        <v>0.20652173913043478</v>
      </c>
      <c r="J257" s="182">
        <v>0.13043478260869565</v>
      </c>
      <c r="K257" s="181">
        <v>0.17269076305220885</v>
      </c>
      <c r="L257" s="180">
        <v>0.11678832116788321</v>
      </c>
      <c r="M257" s="182">
        <v>0.15284974093264247</v>
      </c>
      <c r="N257" s="181">
        <v>0.14971751412429379</v>
      </c>
      <c r="O257" s="180">
        <v>0.17499999999999999</v>
      </c>
      <c r="P257" s="182">
        <v>0.15758754863813229</v>
      </c>
      <c r="Q257" s="181">
        <v>0.17</v>
      </c>
      <c r="R257" s="180">
        <v>0.14000000000000001</v>
      </c>
      <c r="S257" s="182">
        <v>0.16</v>
      </c>
      <c r="T257" s="181">
        <v>0.22558922558922559</v>
      </c>
      <c r="U257" s="180">
        <v>0.15432098765432098</v>
      </c>
      <c r="V257" s="182">
        <v>0.20043572984749455</v>
      </c>
      <c r="W257" s="181">
        <v>0.18768328445747801</v>
      </c>
      <c r="X257" s="180">
        <v>0.18055555555555555</v>
      </c>
      <c r="Y257" s="182">
        <v>0.18556701030927836</v>
      </c>
      <c r="Z257" s="181">
        <v>0.14201183431952663</v>
      </c>
      <c r="AA257" s="180">
        <v>0.24299065420560748</v>
      </c>
      <c r="AB257" s="182">
        <v>0.17</v>
      </c>
    </row>
    <row r="258" spans="1:32" x14ac:dyDescent="0.2">
      <c r="A258" s="92" t="s">
        <v>90</v>
      </c>
      <c r="B258" s="31">
        <f>COUNTIFS(DATA!$O$3:$O$7183,"3",DATA!$D$3:$D$7183,260)</f>
        <v>6</v>
      </c>
      <c r="C258" s="36">
        <f t="shared" si="78"/>
        <v>2.6200873362445413E-2</v>
      </c>
      <c r="D258" s="42">
        <f>COUNTIFS(DATA!$O$3:$O$7183,"3",DATA!$D$3:$D$7183,280)</f>
        <v>8</v>
      </c>
      <c r="E258" s="36">
        <f t="shared" si="79"/>
        <v>8.247422680412371E-2</v>
      </c>
      <c r="F258" s="42">
        <f t="shared" si="81"/>
        <v>14</v>
      </c>
      <c r="G258" s="36">
        <f t="shared" si="80"/>
        <v>4.2944785276073622E-2</v>
      </c>
      <c r="H258" s="181">
        <v>2.4154589371980676E-2</v>
      </c>
      <c r="I258" s="180">
        <v>8.6956521739130432E-2</v>
      </c>
      <c r="J258" s="182">
        <v>4.3478260869565216E-2</v>
      </c>
      <c r="K258" s="181">
        <v>1.2048192771084338E-2</v>
      </c>
      <c r="L258" s="180">
        <v>8.0291970802919707E-2</v>
      </c>
      <c r="M258" s="182">
        <v>3.6269430051813469E-2</v>
      </c>
      <c r="N258" s="181">
        <v>1.6949152542372881E-2</v>
      </c>
      <c r="O258" s="180">
        <v>0.15</v>
      </c>
      <c r="P258" s="182">
        <v>5.8365758754863814E-2</v>
      </c>
      <c r="Q258" s="181">
        <v>0.03</v>
      </c>
      <c r="R258" s="180">
        <v>0.11</v>
      </c>
      <c r="S258" s="182">
        <v>0.06</v>
      </c>
      <c r="T258" s="181">
        <v>5.0505050505050504E-2</v>
      </c>
      <c r="U258" s="180">
        <v>0.10493827160493827</v>
      </c>
      <c r="V258" s="182">
        <v>6.9716775599128547E-2</v>
      </c>
      <c r="W258" s="181">
        <v>2.0527859237536656E-2</v>
      </c>
      <c r="X258" s="180">
        <v>0.1111111111111111</v>
      </c>
      <c r="Y258" s="182">
        <v>4.7422680412371132E-2</v>
      </c>
      <c r="Z258" s="181">
        <v>2.9585798816568046E-2</v>
      </c>
      <c r="AA258" s="180">
        <v>0.10280373831775701</v>
      </c>
      <c r="AB258" s="182">
        <v>4.8723897911832945E-2</v>
      </c>
    </row>
    <row r="259" spans="1:32" x14ac:dyDescent="0.2">
      <c r="A259" s="82" t="s">
        <v>91</v>
      </c>
      <c r="B259" s="31">
        <f>COUNTIFS(DATA!$O$3:$O$7183,"4",DATA!$D$3:$D$7183,260,DATA!$I$3:$I$7183,"D")</f>
        <v>7</v>
      </c>
      <c r="C259" s="37">
        <f t="shared" si="78"/>
        <v>3.0567685589519649E-2</v>
      </c>
      <c r="D259" s="21">
        <f>COUNTIFS(DATA!$O$3:$O$7183,"4",DATA!$D$3:$D$7183,280,DATA!$I$3:$I$7183,"D")</f>
        <v>14</v>
      </c>
      <c r="E259" s="36">
        <f t="shared" si="79"/>
        <v>0.14432989690721648</v>
      </c>
      <c r="F259" s="21">
        <f t="shared" si="81"/>
        <v>21</v>
      </c>
      <c r="G259" s="37">
        <f t="shared" si="80"/>
        <v>6.4417177914110432E-2</v>
      </c>
      <c r="H259" s="181">
        <v>1.932367149758454E-2</v>
      </c>
      <c r="I259" s="180">
        <v>0.14130434782608695</v>
      </c>
      <c r="J259" s="182">
        <v>5.6856187290969896E-2</v>
      </c>
      <c r="K259" s="181">
        <v>2.0080321285140562E-2</v>
      </c>
      <c r="L259" s="180">
        <v>9.4890510948905105E-2</v>
      </c>
      <c r="M259" s="182">
        <v>4.6632124352331605E-2</v>
      </c>
      <c r="N259" s="181">
        <v>5.6497175141242938E-3</v>
      </c>
      <c r="O259" s="180">
        <v>9.375E-2</v>
      </c>
      <c r="P259" s="182">
        <v>3.3073929961089495E-2</v>
      </c>
      <c r="Q259" s="181">
        <v>0.03</v>
      </c>
      <c r="R259" s="180">
        <v>0.08</v>
      </c>
      <c r="S259" s="182">
        <v>0.05</v>
      </c>
      <c r="T259" s="181">
        <v>2.6936026936026935E-2</v>
      </c>
      <c r="U259" s="180">
        <v>9.2592592592592587E-2</v>
      </c>
      <c r="V259" s="182">
        <v>5.0108932461873638E-2</v>
      </c>
      <c r="W259" s="181">
        <v>2.3460410557184751E-2</v>
      </c>
      <c r="X259" s="180">
        <v>0.1111111111111111</v>
      </c>
      <c r="Y259" s="182">
        <v>4.9484536082474224E-2</v>
      </c>
      <c r="Z259" s="181">
        <v>1.4792899408284023E-2</v>
      </c>
      <c r="AA259" s="180">
        <v>0.13084112149532709</v>
      </c>
      <c r="AB259" s="182">
        <v>4.4083526682134569E-2</v>
      </c>
    </row>
    <row r="260" spans="1:32" s="41" customFormat="1" ht="15" thickBot="1" x14ac:dyDescent="0.25">
      <c r="A260" s="93" t="s">
        <v>39</v>
      </c>
      <c r="B260" s="31">
        <f>COUNTIFS(DATA!$O$3:$O$7183,"5",DATA!$D$3:$D$7183,260,DATA!$I$3:$I$7183,"D")</f>
        <v>3</v>
      </c>
      <c r="C260" s="37">
        <f t="shared" si="78"/>
        <v>1.3100436681222707E-2</v>
      </c>
      <c r="D260" s="21">
        <f>COUNTIFS(DATA!$O$3:$O$7183,"5",DATA!$D$3:$D$7183,280,DATA!$I$3:$I$7183,"D")</f>
        <v>0</v>
      </c>
      <c r="E260" s="36">
        <f t="shared" si="79"/>
        <v>0</v>
      </c>
      <c r="F260" s="21">
        <f t="shared" ref="F260" si="82">+D260+B260</f>
        <v>3</v>
      </c>
      <c r="G260" s="37">
        <f t="shared" si="80"/>
        <v>9.202453987730062E-3</v>
      </c>
      <c r="H260" s="181">
        <v>1.4492753623188406E-2</v>
      </c>
      <c r="I260" s="180">
        <v>2.1739130434782608E-2</v>
      </c>
      <c r="J260" s="182">
        <v>1.6722408026755852E-2</v>
      </c>
      <c r="K260" s="181">
        <v>4.0160642570281121E-3</v>
      </c>
      <c r="L260" s="180">
        <v>1.4598540145985401E-2</v>
      </c>
      <c r="M260" s="182">
        <v>7.7720207253886009E-3</v>
      </c>
      <c r="N260" s="181">
        <v>1.1299435028248588E-2</v>
      </c>
      <c r="O260" s="180">
        <v>3.125E-2</v>
      </c>
      <c r="P260" s="182">
        <v>1.7509727626459144E-2</v>
      </c>
      <c r="Q260" s="181">
        <v>0.02</v>
      </c>
      <c r="R260" s="180">
        <v>0.02</v>
      </c>
      <c r="S260" s="182">
        <v>0.02</v>
      </c>
      <c r="T260" s="181">
        <v>6.7340067340067337E-3</v>
      </c>
      <c r="U260" s="180">
        <v>1.2345679012345678E-2</v>
      </c>
      <c r="V260" s="182">
        <v>8.7145969498910684E-3</v>
      </c>
      <c r="W260" s="181">
        <v>5.8651026392961877E-3</v>
      </c>
      <c r="X260" s="180">
        <v>6.9444444444444441E-3</v>
      </c>
      <c r="Y260" s="182">
        <v>6.1855670103092781E-3</v>
      </c>
      <c r="Z260" s="181">
        <v>1.7751479289940829E-2</v>
      </c>
      <c r="AA260" s="180">
        <v>9.3457943925233638E-3</v>
      </c>
      <c r="AB260" s="182">
        <v>1.6241299303944315E-2</v>
      </c>
    </row>
    <row r="261" spans="1:32" ht="15.75" thickBot="1" x14ac:dyDescent="0.3">
      <c r="A261" s="111" t="s">
        <v>16</v>
      </c>
      <c r="B261" s="101">
        <f>SUM(B256:B260)</f>
        <v>229</v>
      </c>
      <c r="C261" s="114">
        <f t="shared" si="78"/>
        <v>1</v>
      </c>
      <c r="D261" s="101">
        <f>SUM(D256:D260)</f>
        <v>97</v>
      </c>
      <c r="E261" s="114">
        <f t="shared" si="79"/>
        <v>1</v>
      </c>
      <c r="F261" s="101">
        <f>SUM(F256:F260)</f>
        <v>326</v>
      </c>
      <c r="G261" s="114">
        <f t="shared" si="80"/>
        <v>1</v>
      </c>
      <c r="H261" s="183">
        <v>1</v>
      </c>
      <c r="I261" s="184">
        <v>1</v>
      </c>
      <c r="J261" s="185">
        <v>1</v>
      </c>
      <c r="K261" s="183">
        <v>1</v>
      </c>
      <c r="L261" s="184">
        <v>1</v>
      </c>
      <c r="M261" s="185">
        <v>1</v>
      </c>
      <c r="N261" s="183">
        <v>1</v>
      </c>
      <c r="O261" s="184">
        <v>1</v>
      </c>
      <c r="P261" s="185">
        <v>1</v>
      </c>
      <c r="Q261" s="183">
        <v>1</v>
      </c>
      <c r="R261" s="184">
        <v>1</v>
      </c>
      <c r="S261" s="185">
        <v>1</v>
      </c>
      <c r="T261" s="183">
        <v>1</v>
      </c>
      <c r="U261" s="184">
        <v>1</v>
      </c>
      <c r="V261" s="185">
        <v>1</v>
      </c>
      <c r="W261" s="183">
        <v>1</v>
      </c>
      <c r="X261" s="184">
        <v>1</v>
      </c>
      <c r="Y261" s="185">
        <v>1</v>
      </c>
      <c r="Z261" s="183">
        <v>1</v>
      </c>
      <c r="AA261" s="184">
        <v>1</v>
      </c>
      <c r="AB261" s="185">
        <v>1</v>
      </c>
      <c r="AF261" s="162"/>
    </row>
    <row r="262" spans="1:32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</row>
    <row r="263" spans="1:32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</row>
    <row r="264" spans="1:32" ht="14.25" customHeight="1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18" t="s">
        <v>3656</v>
      </c>
      <c r="L264" s="218"/>
      <c r="M264" s="218"/>
      <c r="N264" s="218"/>
      <c r="O264" s="218"/>
      <c r="P264" s="218"/>
      <c r="Q264" s="218"/>
      <c r="R264" s="218"/>
    </row>
    <row r="265" spans="1:32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18"/>
      <c r="L265" s="218"/>
      <c r="M265" s="218"/>
      <c r="N265" s="218"/>
      <c r="O265" s="218"/>
      <c r="P265" s="218"/>
      <c r="Q265" s="218"/>
      <c r="R265" s="218"/>
    </row>
    <row r="266" spans="1:32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168" t="s">
        <v>7119</v>
      </c>
      <c r="L266" s="169"/>
      <c r="M266" s="169"/>
      <c r="N266" s="190"/>
      <c r="O266" s="169"/>
      <c r="P266" s="169"/>
      <c r="Q266" s="169"/>
      <c r="R266" s="169"/>
    </row>
    <row r="267" spans="1:32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168" t="s">
        <v>7120</v>
      </c>
      <c r="L267" s="169"/>
      <c r="M267" s="169"/>
      <c r="N267" s="190"/>
      <c r="O267" s="169"/>
      <c r="P267" s="169"/>
      <c r="Q267" s="169"/>
      <c r="R267" s="169"/>
    </row>
    <row r="268" spans="1:32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170" t="s">
        <v>7121</v>
      </c>
      <c r="L268" s="171"/>
      <c r="M268" s="171"/>
      <c r="N268" s="171"/>
      <c r="O268" s="171"/>
      <c r="P268" s="171"/>
      <c r="Q268" s="171"/>
      <c r="R268" s="171"/>
    </row>
    <row r="269" spans="1:32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170" t="s">
        <v>7122</v>
      </c>
      <c r="L269" s="171"/>
      <c r="M269" s="171"/>
      <c r="N269" s="171"/>
      <c r="O269" s="171"/>
      <c r="P269" s="171"/>
      <c r="Q269" s="171"/>
      <c r="R269" s="171"/>
    </row>
    <row r="270" spans="1:32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</row>
    <row r="271" spans="1:32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</row>
    <row r="272" spans="1:32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</row>
    <row r="273" spans="1:10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</row>
    <row r="274" spans="1:10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</row>
    <row r="275" spans="1:10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</row>
    <row r="276" spans="1:10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</row>
    <row r="277" spans="1:10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</row>
    <row r="278" spans="1:10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</row>
    <row r="279" spans="1:10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</row>
    <row r="280" spans="1:10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</row>
    <row r="281" spans="1:10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</row>
    <row r="282" spans="1:10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</row>
    <row r="283" spans="1:10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</row>
    <row r="284" spans="1:10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</row>
    <row r="285" spans="1:10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</row>
    <row r="286" spans="1:10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0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</row>
    <row r="288" spans="1:10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</row>
    <row r="289" spans="1:32" ht="15" thickBo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</row>
    <row r="290" spans="1:32" ht="42" customHeight="1" thickBot="1" x14ac:dyDescent="0.25">
      <c r="A290" s="240" t="s">
        <v>98</v>
      </c>
      <c r="B290" s="241"/>
      <c r="C290" s="241"/>
      <c r="D290" s="241"/>
      <c r="E290" s="241"/>
      <c r="F290" s="241"/>
      <c r="G290" s="242"/>
      <c r="H290" s="74"/>
      <c r="I290" s="74"/>
      <c r="J290" s="74"/>
      <c r="K290" s="74"/>
    </row>
    <row r="291" spans="1:32" ht="15.75" thickBot="1" x14ac:dyDescent="0.3">
      <c r="A291" s="28"/>
      <c r="B291" s="234" t="str">
        <f>+B73</f>
        <v>Successful</v>
      </c>
      <c r="C291" s="235"/>
      <c r="D291" s="236" t="str">
        <f>+D73</f>
        <v>Unsuccessful</v>
      </c>
      <c r="E291" s="237"/>
      <c r="F291" s="238" t="s">
        <v>16</v>
      </c>
      <c r="G291" s="239"/>
      <c r="H291" s="206">
        <f>+H254</f>
        <v>2021</v>
      </c>
      <c r="I291" s="207"/>
      <c r="J291" s="208"/>
      <c r="K291" s="206">
        <f>+K254</f>
        <v>2020</v>
      </c>
      <c r="L291" s="207"/>
      <c r="M291" s="208"/>
      <c r="N291" s="206">
        <f>+N254</f>
        <v>2019</v>
      </c>
      <c r="O291" s="207"/>
      <c r="P291" s="208"/>
      <c r="Q291" s="206">
        <f>+Q254</f>
        <v>2018</v>
      </c>
      <c r="R291" s="207"/>
      <c r="S291" s="208"/>
      <c r="T291" s="206">
        <f>+T254</f>
        <v>2017</v>
      </c>
      <c r="U291" s="207"/>
      <c r="V291" s="208"/>
      <c r="W291" s="209">
        <f>+W254</f>
        <v>2016</v>
      </c>
      <c r="X291" s="210"/>
      <c r="Y291" s="211"/>
      <c r="Z291" s="209">
        <f>+Z254</f>
        <v>2015</v>
      </c>
      <c r="AA291" s="210"/>
      <c r="AB291" s="211"/>
      <c r="AC291" s="165"/>
      <c r="AF291" s="162"/>
    </row>
    <row r="292" spans="1:32" ht="29.25" customHeight="1" thickBot="1" x14ac:dyDescent="0.25">
      <c r="A292" s="28"/>
      <c r="B292" s="29" t="s">
        <v>37</v>
      </c>
      <c r="C292" s="30" t="s">
        <v>38</v>
      </c>
      <c r="D292" s="29" t="s">
        <v>37</v>
      </c>
      <c r="E292" s="30" t="s">
        <v>38</v>
      </c>
      <c r="F292" s="29" t="s">
        <v>37</v>
      </c>
      <c r="G292" s="30" t="s">
        <v>38</v>
      </c>
      <c r="H292" s="186" t="s">
        <v>132</v>
      </c>
      <c r="I292" s="187" t="s">
        <v>133</v>
      </c>
      <c r="J292" s="44" t="s">
        <v>16</v>
      </c>
      <c r="K292" s="186" t="s">
        <v>132</v>
      </c>
      <c r="L292" s="187" t="s">
        <v>133</v>
      </c>
      <c r="M292" s="44" t="s">
        <v>16</v>
      </c>
      <c r="N292" s="186" t="s">
        <v>132</v>
      </c>
      <c r="O292" s="187" t="s">
        <v>133</v>
      </c>
      <c r="P292" s="44" t="s">
        <v>16</v>
      </c>
      <c r="Q292" s="186" t="s">
        <v>132</v>
      </c>
      <c r="R292" s="187" t="s">
        <v>133</v>
      </c>
      <c r="S292" s="44" t="s">
        <v>16</v>
      </c>
      <c r="T292" s="186" t="s">
        <v>132</v>
      </c>
      <c r="U292" s="187" t="s">
        <v>133</v>
      </c>
      <c r="V292" s="44" t="s">
        <v>16</v>
      </c>
      <c r="W292" s="186" t="s">
        <v>132</v>
      </c>
      <c r="X292" s="187" t="s">
        <v>133</v>
      </c>
      <c r="Y292" s="44" t="s">
        <v>16</v>
      </c>
      <c r="Z292" s="186" t="s">
        <v>132</v>
      </c>
      <c r="AA292" s="187" t="s">
        <v>133</v>
      </c>
      <c r="AB292" s="44" t="s">
        <v>16</v>
      </c>
    </row>
    <row r="293" spans="1:32" x14ac:dyDescent="0.2">
      <c r="A293" s="98" t="s">
        <v>134</v>
      </c>
      <c r="B293" s="31">
        <f>COUNTIFS(DATA!$P$3:$P$7183,1,DATA!$D$3:$D$7183,260)</f>
        <v>3</v>
      </c>
      <c r="C293" s="35">
        <f>IF(B297=0,0,+B293/B297)</f>
        <v>0.23076923076923078</v>
      </c>
      <c r="D293" s="31">
        <f>COUNTIFS(DATA!$P$3:$P$7183,1,DATA!$D$3:$D$7183,280)</f>
        <v>1</v>
      </c>
      <c r="E293" s="35">
        <f>+D293/D297</f>
        <v>4.5454545454545456E-2</v>
      </c>
      <c r="F293" s="31">
        <f>+D293+B293</f>
        <v>4</v>
      </c>
      <c r="G293" s="35">
        <f>+F293/F297</f>
        <v>0.11428571428571428</v>
      </c>
      <c r="H293" s="181">
        <v>0.1111111111111111</v>
      </c>
      <c r="I293" s="180">
        <v>4.7619047619047616E-2</v>
      </c>
      <c r="J293" s="182">
        <v>6.6666666666666666E-2</v>
      </c>
      <c r="K293" s="181">
        <v>0.125</v>
      </c>
      <c r="L293" s="180">
        <v>0.16666666666666666</v>
      </c>
      <c r="M293" s="182">
        <v>0.15625</v>
      </c>
      <c r="N293" s="181">
        <v>0.125</v>
      </c>
      <c r="O293" s="180">
        <v>0.15384615384615385</v>
      </c>
      <c r="P293" s="182">
        <v>0.14893617021276595</v>
      </c>
      <c r="Q293" s="181">
        <v>0.1</v>
      </c>
      <c r="R293" s="180">
        <v>0.23</v>
      </c>
      <c r="S293" s="182">
        <v>0.18</v>
      </c>
      <c r="T293" s="181">
        <v>0.17391304347826086</v>
      </c>
      <c r="U293" s="180">
        <v>0.125</v>
      </c>
      <c r="V293" s="182">
        <v>0.14545454545454545</v>
      </c>
      <c r="W293" s="181">
        <v>6.6666666666666666E-2</v>
      </c>
      <c r="X293" s="180">
        <v>0.28125</v>
      </c>
      <c r="Y293" s="182">
        <v>0.21276595744680851</v>
      </c>
      <c r="Z293" s="181">
        <v>0.26666666666666666</v>
      </c>
      <c r="AA293" s="180">
        <v>0.12</v>
      </c>
      <c r="AB293" s="182">
        <v>0.17499999999999999</v>
      </c>
    </row>
    <row r="294" spans="1:32" x14ac:dyDescent="0.2">
      <c r="A294" s="99" t="s">
        <v>135</v>
      </c>
      <c r="B294" s="31">
        <f>COUNTIFS(DATA!$P$3:$P$7183,2,DATA!$D$3:$D$7183,260)</f>
        <v>6</v>
      </c>
      <c r="C294" s="36">
        <f>IF(B297=0,0,+B294/B297)</f>
        <v>0.46153846153846156</v>
      </c>
      <c r="D294" s="42">
        <f>COUNTIFS(DATA!$P$3:$P$7183,2,DATA!$D$3:$D$7183,280)</f>
        <v>18</v>
      </c>
      <c r="E294" s="36">
        <f>+D294/D297</f>
        <v>0.81818181818181823</v>
      </c>
      <c r="F294" s="42">
        <f t="shared" ref="F294:F296" si="83">+D294+B294</f>
        <v>24</v>
      </c>
      <c r="G294" s="36">
        <f>+F294/F297</f>
        <v>0.68571428571428572</v>
      </c>
      <c r="H294" s="181">
        <v>0.88888888888888884</v>
      </c>
      <c r="I294" s="180">
        <v>0.7142857142857143</v>
      </c>
      <c r="J294" s="182">
        <v>0.76666666666666672</v>
      </c>
      <c r="K294" s="181">
        <v>0.875</v>
      </c>
      <c r="L294" s="180">
        <v>0.70833333333333337</v>
      </c>
      <c r="M294" s="182">
        <v>0.75</v>
      </c>
      <c r="N294" s="181">
        <v>0.75</v>
      </c>
      <c r="O294" s="180">
        <v>0.53846153846153844</v>
      </c>
      <c r="P294" s="182">
        <v>0.57446808510638303</v>
      </c>
      <c r="Q294" s="181">
        <v>0.65</v>
      </c>
      <c r="R294" s="180">
        <v>0.68</v>
      </c>
      <c r="S294" s="182">
        <v>0.67</v>
      </c>
      <c r="T294" s="181">
        <v>0.56521739130434778</v>
      </c>
      <c r="U294" s="180">
        <v>0.6875</v>
      </c>
      <c r="V294" s="182">
        <v>0.63636363636363635</v>
      </c>
      <c r="W294" s="181">
        <v>0.73333333333333328</v>
      </c>
      <c r="X294" s="180">
        <v>0.5625</v>
      </c>
      <c r="Y294" s="182">
        <v>0.61702127659574468</v>
      </c>
      <c r="Z294" s="181">
        <v>0.6</v>
      </c>
      <c r="AA294" s="180">
        <v>0.8</v>
      </c>
      <c r="AB294" s="182">
        <v>0.72499999999999998</v>
      </c>
    </row>
    <row r="295" spans="1:32" x14ac:dyDescent="0.2">
      <c r="A295" s="92" t="s">
        <v>94</v>
      </c>
      <c r="B295" s="31">
        <f>COUNTIFS(DATA!$P$3:$P$7183,"3",DATA!$D$3:$D$7183,260)</f>
        <v>4</v>
      </c>
      <c r="C295" s="36">
        <f>IF(B297=0,0,+B295/B297)</f>
        <v>0.30769230769230771</v>
      </c>
      <c r="D295" s="42">
        <f>COUNTIFS(DATA!$P$3:$P$7183,"3",DATA!$D$3:$D$7183,280)</f>
        <v>3</v>
      </c>
      <c r="E295" s="36">
        <f>+D295/D297</f>
        <v>0.13636363636363635</v>
      </c>
      <c r="F295" s="42">
        <f t="shared" si="83"/>
        <v>7</v>
      </c>
      <c r="G295" s="36">
        <f>+F295/F297</f>
        <v>0.2</v>
      </c>
      <c r="H295" s="181">
        <v>0</v>
      </c>
      <c r="I295" s="180">
        <v>0.19047619047619047</v>
      </c>
      <c r="J295" s="182">
        <v>0.13333333333333333</v>
      </c>
      <c r="K295" s="181">
        <v>0</v>
      </c>
      <c r="L295" s="180">
        <v>0.125</v>
      </c>
      <c r="M295" s="182">
        <v>9.375E-2</v>
      </c>
      <c r="N295" s="181">
        <v>0.125</v>
      </c>
      <c r="O295" s="180">
        <v>0.20512820512820512</v>
      </c>
      <c r="P295" s="182">
        <v>0.19148936170212766</v>
      </c>
      <c r="Q295" s="181">
        <v>0.15</v>
      </c>
      <c r="R295" s="180">
        <v>0.06</v>
      </c>
      <c r="S295" s="182">
        <v>0.1</v>
      </c>
      <c r="T295" s="181">
        <v>0.2608695652173913</v>
      </c>
      <c r="U295" s="180">
        <v>0.1875</v>
      </c>
      <c r="V295" s="182">
        <v>0.21818181818181817</v>
      </c>
      <c r="W295" s="181">
        <v>0.13333333333333333</v>
      </c>
      <c r="X295" s="180">
        <v>9.375E-2</v>
      </c>
      <c r="Y295" s="182">
        <v>0.10638297872340426</v>
      </c>
      <c r="Z295" s="181">
        <v>0.13333333333333333</v>
      </c>
      <c r="AA295" s="180">
        <v>0.08</v>
      </c>
      <c r="AB295" s="182">
        <v>0.1</v>
      </c>
      <c r="AC295" s="74"/>
      <c r="AF295" s="162"/>
    </row>
    <row r="296" spans="1:32" s="41" customFormat="1" ht="15" thickBot="1" x14ac:dyDescent="0.25">
      <c r="A296" s="93" t="s">
        <v>39</v>
      </c>
      <c r="B296" s="31">
        <f>COUNTIFS(DATA!$P$3:$P$7183,"4",DATA!$D$3:$D$7183,260)</f>
        <v>0</v>
      </c>
      <c r="C296" s="36">
        <f>IF(B297=0,0,+B296/B297)</f>
        <v>0</v>
      </c>
      <c r="D296" s="42">
        <f>COUNTIFS(DATA!$P$3:$P$7183,"4",DATA!$D$3:$D$7183,280)</f>
        <v>0</v>
      </c>
      <c r="E296" s="36">
        <f>+D296/D297</f>
        <v>0</v>
      </c>
      <c r="F296" s="42">
        <f t="shared" si="83"/>
        <v>0</v>
      </c>
      <c r="G296" s="36">
        <f>+F296/F297</f>
        <v>0</v>
      </c>
      <c r="H296" s="181">
        <v>0</v>
      </c>
      <c r="I296" s="180">
        <v>4.7619047619047616E-2</v>
      </c>
      <c r="J296" s="182">
        <v>3.3333333333333333E-2</v>
      </c>
      <c r="K296" s="181">
        <v>0</v>
      </c>
      <c r="L296" s="180">
        <v>0</v>
      </c>
      <c r="M296" s="182">
        <v>0</v>
      </c>
      <c r="N296" s="181">
        <v>0</v>
      </c>
      <c r="O296" s="180">
        <v>0.10256410256410256</v>
      </c>
      <c r="P296" s="182">
        <v>8.5106382978723402E-2</v>
      </c>
      <c r="Q296" s="181">
        <v>0.1</v>
      </c>
      <c r="R296" s="180">
        <v>0.03</v>
      </c>
      <c r="S296" s="182">
        <v>0.06</v>
      </c>
      <c r="T296" s="181">
        <v>0</v>
      </c>
      <c r="U296" s="180">
        <v>0</v>
      </c>
      <c r="V296" s="182">
        <v>0</v>
      </c>
      <c r="W296" s="181">
        <v>6.6666666666666666E-2</v>
      </c>
      <c r="X296" s="180">
        <v>6.25E-2</v>
      </c>
      <c r="Y296" s="182">
        <v>6.3829787234042548E-2</v>
      </c>
      <c r="Z296" s="181">
        <v>0</v>
      </c>
      <c r="AA296" s="180">
        <v>0</v>
      </c>
      <c r="AB296" s="182">
        <v>0</v>
      </c>
      <c r="AC296" s="74"/>
      <c r="AF296" s="162"/>
    </row>
    <row r="297" spans="1:32" ht="15.75" thickBot="1" x14ac:dyDescent="0.3">
      <c r="A297" s="111" t="s">
        <v>16</v>
      </c>
      <c r="B297" s="101">
        <f>SUM(B293:B296)</f>
        <v>13</v>
      </c>
      <c r="C297" s="114">
        <f>IF(B297=0,0,+B297/B297)</f>
        <v>1</v>
      </c>
      <c r="D297" s="101">
        <f>SUM(D293:D296)</f>
        <v>22</v>
      </c>
      <c r="E297" s="114">
        <f>+D297/D297</f>
        <v>1</v>
      </c>
      <c r="F297" s="101">
        <f>SUM(F293:F296)</f>
        <v>35</v>
      </c>
      <c r="G297" s="114">
        <f>+F297/F297</f>
        <v>1</v>
      </c>
      <c r="H297" s="183">
        <v>1</v>
      </c>
      <c r="I297" s="184">
        <v>1</v>
      </c>
      <c r="J297" s="185">
        <v>1</v>
      </c>
      <c r="K297" s="183">
        <v>1</v>
      </c>
      <c r="L297" s="184">
        <v>1</v>
      </c>
      <c r="M297" s="185">
        <v>1</v>
      </c>
      <c r="N297" s="183">
        <v>1</v>
      </c>
      <c r="O297" s="184">
        <v>1</v>
      </c>
      <c r="P297" s="185">
        <v>1</v>
      </c>
      <c r="Q297" s="183">
        <v>1</v>
      </c>
      <c r="R297" s="184">
        <v>1</v>
      </c>
      <c r="S297" s="185">
        <v>1</v>
      </c>
      <c r="T297" s="183">
        <v>1</v>
      </c>
      <c r="U297" s="184">
        <v>1</v>
      </c>
      <c r="V297" s="185">
        <v>1</v>
      </c>
      <c r="W297" s="183">
        <v>1</v>
      </c>
      <c r="X297" s="184">
        <v>1</v>
      </c>
      <c r="Y297" s="185">
        <v>1</v>
      </c>
      <c r="Z297" s="183">
        <v>1</v>
      </c>
      <c r="AA297" s="184">
        <v>1</v>
      </c>
      <c r="AB297" s="185">
        <v>1</v>
      </c>
      <c r="AF297" s="162"/>
    </row>
    <row r="298" spans="1:32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</row>
    <row r="299" spans="1:32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</row>
    <row r="300" spans="1:32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</row>
    <row r="301" spans="1:32" ht="14.25" customHeight="1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18" t="s">
        <v>7269</v>
      </c>
      <c r="L301" s="218"/>
      <c r="M301" s="218"/>
      <c r="N301" s="218"/>
      <c r="O301" s="218"/>
      <c r="P301" s="218"/>
      <c r="Q301" s="218"/>
      <c r="R301" s="218"/>
    </row>
    <row r="302" spans="1:32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18"/>
      <c r="L302" s="218"/>
      <c r="M302" s="218"/>
      <c r="N302" s="218"/>
      <c r="O302" s="218"/>
      <c r="P302" s="218"/>
      <c r="Q302" s="218"/>
      <c r="R302" s="218"/>
    </row>
    <row r="303" spans="1:32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168" t="s">
        <v>7123</v>
      </c>
      <c r="L303" s="169"/>
      <c r="M303" s="169"/>
      <c r="N303" s="190"/>
      <c r="O303" s="169"/>
      <c r="P303" s="169"/>
      <c r="Q303" s="169"/>
      <c r="R303" s="169"/>
    </row>
    <row r="304" spans="1:32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166" t="s">
        <v>7124</v>
      </c>
      <c r="L304" s="167"/>
      <c r="M304" s="167"/>
      <c r="N304" s="191"/>
      <c r="O304" s="167"/>
      <c r="P304" s="167"/>
      <c r="Q304" s="167"/>
      <c r="R304" s="167"/>
    </row>
    <row r="305" spans="1:10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</row>
    <row r="306" spans="1:10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</row>
    <row r="307" spans="1:10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</row>
    <row r="308" spans="1:10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</row>
    <row r="309" spans="1:10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</row>
    <row r="310" spans="1:10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</row>
    <row r="311" spans="1:10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</row>
    <row r="312" spans="1:10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</row>
    <row r="313" spans="1:10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</row>
    <row r="314" spans="1:10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</row>
    <row r="315" spans="1:10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</row>
    <row r="316" spans="1:10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</row>
    <row r="317" spans="1:10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</row>
    <row r="318" spans="1:10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</row>
    <row r="319" spans="1:10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</row>
    <row r="320" spans="1:10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</row>
    <row r="321" spans="1:36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</row>
    <row r="322" spans="1:36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</row>
    <row r="323" spans="1:36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</row>
    <row r="324" spans="1:36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</row>
    <row r="325" spans="1:36" ht="15" thickBo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</row>
    <row r="326" spans="1:36" ht="40.5" customHeight="1" thickBot="1" x14ac:dyDescent="0.25">
      <c r="A326" s="240" t="s">
        <v>99</v>
      </c>
      <c r="B326" s="241"/>
      <c r="C326" s="241"/>
      <c r="D326" s="241"/>
      <c r="E326" s="241"/>
      <c r="F326" s="241"/>
      <c r="G326" s="242"/>
      <c r="H326" s="74"/>
      <c r="I326" s="74"/>
      <c r="J326" s="74"/>
      <c r="K326" s="74"/>
    </row>
    <row r="327" spans="1:36" ht="15.75" thickBot="1" x14ac:dyDescent="0.3">
      <c r="A327" s="28"/>
      <c r="B327" s="234" t="str">
        <f>+B73</f>
        <v>Successful</v>
      </c>
      <c r="C327" s="235"/>
      <c r="D327" s="236" t="str">
        <f>+D73</f>
        <v>Unsuccessful</v>
      </c>
      <c r="E327" s="237"/>
      <c r="F327" s="238" t="s">
        <v>16</v>
      </c>
      <c r="G327" s="239"/>
      <c r="H327" s="206">
        <f>+H291</f>
        <v>2021</v>
      </c>
      <c r="I327" s="207"/>
      <c r="J327" s="208"/>
      <c r="K327" s="206">
        <f>+K291</f>
        <v>2020</v>
      </c>
      <c r="L327" s="207"/>
      <c r="M327" s="208"/>
      <c r="N327" s="206">
        <f>+N291</f>
        <v>2019</v>
      </c>
      <c r="O327" s="207"/>
      <c r="P327" s="208"/>
      <c r="Q327" s="206">
        <f>+Q291</f>
        <v>2018</v>
      </c>
      <c r="R327" s="207"/>
      <c r="S327" s="208"/>
      <c r="T327" s="206">
        <f>+T291</f>
        <v>2017</v>
      </c>
      <c r="U327" s="207"/>
      <c r="V327" s="208"/>
      <c r="W327" s="209">
        <f>+W291</f>
        <v>2016</v>
      </c>
      <c r="X327" s="210"/>
      <c r="Y327" s="211"/>
      <c r="Z327" s="209">
        <f>+Z291</f>
        <v>2015</v>
      </c>
      <c r="AA327" s="210"/>
      <c r="AB327" s="211"/>
      <c r="AC327" s="165"/>
      <c r="AF327" s="162"/>
    </row>
    <row r="328" spans="1:36" ht="29.25" customHeight="1" thickBot="1" x14ac:dyDescent="0.25">
      <c r="A328" s="28"/>
      <c r="B328" s="29" t="s">
        <v>37</v>
      </c>
      <c r="C328" s="30" t="s">
        <v>38</v>
      </c>
      <c r="D328" s="29" t="s">
        <v>37</v>
      </c>
      <c r="E328" s="30" t="s">
        <v>38</v>
      </c>
      <c r="F328" s="29" t="s">
        <v>37</v>
      </c>
      <c r="G328" s="30" t="s">
        <v>38</v>
      </c>
      <c r="H328" s="186" t="s">
        <v>132</v>
      </c>
      <c r="I328" s="187" t="s">
        <v>133</v>
      </c>
      <c r="J328" s="44" t="s">
        <v>16</v>
      </c>
      <c r="K328" s="186" t="s">
        <v>132</v>
      </c>
      <c r="L328" s="187" t="s">
        <v>133</v>
      </c>
      <c r="M328" s="44" t="s">
        <v>16</v>
      </c>
      <c r="N328" s="186" t="s">
        <v>132</v>
      </c>
      <c r="O328" s="187" t="s">
        <v>133</v>
      </c>
      <c r="P328" s="44" t="s">
        <v>16</v>
      </c>
      <c r="Q328" s="186" t="s">
        <v>132</v>
      </c>
      <c r="R328" s="187" t="s">
        <v>133</v>
      </c>
      <c r="S328" s="44" t="s">
        <v>16</v>
      </c>
      <c r="T328" s="186" t="s">
        <v>132</v>
      </c>
      <c r="U328" s="187" t="s">
        <v>133</v>
      </c>
      <c r="V328" s="44" t="s">
        <v>16</v>
      </c>
      <c r="W328" s="186" t="s">
        <v>132</v>
      </c>
      <c r="X328" s="187" t="s">
        <v>133</v>
      </c>
      <c r="Y328" s="44" t="s">
        <v>16</v>
      </c>
      <c r="Z328" s="186" t="s">
        <v>132</v>
      </c>
      <c r="AA328" s="187" t="s">
        <v>133</v>
      </c>
      <c r="AB328" s="44" t="s">
        <v>16</v>
      </c>
      <c r="AC328" s="268"/>
      <c r="AD328" s="269"/>
      <c r="AE328" s="269"/>
      <c r="AF328" s="269"/>
      <c r="AG328" s="269"/>
      <c r="AH328" s="269"/>
      <c r="AI328" s="269"/>
      <c r="AJ328" s="269"/>
    </row>
    <row r="329" spans="1:36" x14ac:dyDescent="0.2">
      <c r="A329" s="98" t="s">
        <v>134</v>
      </c>
      <c r="B329" s="31">
        <f>COUNTIFS(DATA!$Q$3:$Q$7183,1,DATA!$D$3:$D$7183,260)</f>
        <v>5</v>
      </c>
      <c r="C329" s="35">
        <f>IF(B333=0,0,+B329/B333)</f>
        <v>0.38461538461538464</v>
      </c>
      <c r="D329" s="31">
        <f>COUNTIFS(DATA!$Q$3:$Q$7183,1,DATA!$D$3:$D$7183,280)</f>
        <v>0</v>
      </c>
      <c r="E329" s="35">
        <f>+D329/D333</f>
        <v>0</v>
      </c>
      <c r="F329" s="31">
        <f>+D329+B329</f>
        <v>5</v>
      </c>
      <c r="G329" s="35">
        <f>+F329/F333</f>
        <v>0.14285714285714285</v>
      </c>
      <c r="H329" s="181">
        <v>0.1111111111111111</v>
      </c>
      <c r="I329" s="180">
        <v>4.7619047619047616E-2</v>
      </c>
      <c r="J329" s="182">
        <v>6.6666666666666666E-2</v>
      </c>
      <c r="K329" s="181">
        <v>0</v>
      </c>
      <c r="L329" s="180">
        <v>4.1666666666666664E-2</v>
      </c>
      <c r="M329" s="182">
        <v>3.125E-2</v>
      </c>
      <c r="N329" s="181">
        <v>0.375</v>
      </c>
      <c r="O329" s="180">
        <v>0.12820512820512819</v>
      </c>
      <c r="P329" s="182">
        <v>0.1702127659574468</v>
      </c>
      <c r="Q329" s="181">
        <v>0</v>
      </c>
      <c r="R329" s="180">
        <v>0</v>
      </c>
      <c r="S329" s="182">
        <v>0</v>
      </c>
      <c r="T329" s="181">
        <v>0.13043478260869565</v>
      </c>
      <c r="U329" s="180">
        <v>3.125E-2</v>
      </c>
      <c r="V329" s="182">
        <v>7.2727272727272724E-2</v>
      </c>
      <c r="W329" s="181">
        <v>6.6666666666666666E-2</v>
      </c>
      <c r="X329" s="180">
        <v>0.15625</v>
      </c>
      <c r="Y329" s="182">
        <v>0.1276595744680851</v>
      </c>
      <c r="Z329" s="181">
        <v>0.13333333333333333</v>
      </c>
      <c r="AA329" s="180">
        <v>0.04</v>
      </c>
      <c r="AB329" s="182">
        <v>7.4999999999999997E-2</v>
      </c>
      <c r="AC329" s="129"/>
      <c r="AD329" s="129"/>
      <c r="AE329" s="129"/>
      <c r="AF329" s="128"/>
      <c r="AG329" s="128"/>
      <c r="AH329" s="200"/>
      <c r="AI329" s="200"/>
      <c r="AJ329" s="200"/>
    </row>
    <row r="330" spans="1:36" ht="27.75" customHeight="1" x14ac:dyDescent="0.2">
      <c r="A330" s="99" t="s">
        <v>135</v>
      </c>
      <c r="B330" s="31">
        <f>COUNTIFS(DATA!$Q$3:$Q$7183,2,DATA!$D$3:$D$7183,260)</f>
        <v>7</v>
      </c>
      <c r="C330" s="36">
        <f>IF(B333=0,0,+B330/B333)</f>
        <v>0.53846153846153844</v>
      </c>
      <c r="D330" s="42">
        <f>COUNTIFS(DATA!$Q$3:$Q$7183,2,DATA!$D$3:$D$7183,280)</f>
        <v>19</v>
      </c>
      <c r="E330" s="36">
        <f>+D330/D333</f>
        <v>0.86363636363636365</v>
      </c>
      <c r="F330" s="42">
        <f t="shared" ref="F330:F332" si="84">+D330+B330</f>
        <v>26</v>
      </c>
      <c r="G330" s="36">
        <f>+F330/F333</f>
        <v>0.74285714285714288</v>
      </c>
      <c r="H330" s="181">
        <v>0.77777777777777779</v>
      </c>
      <c r="I330" s="180">
        <v>0.80952380952380953</v>
      </c>
      <c r="J330" s="182">
        <v>0.8</v>
      </c>
      <c r="K330" s="181">
        <v>1</v>
      </c>
      <c r="L330" s="180">
        <v>0.83333333333333337</v>
      </c>
      <c r="M330" s="182">
        <v>0.875</v>
      </c>
      <c r="N330" s="181">
        <v>0.625</v>
      </c>
      <c r="O330" s="180">
        <v>0.58974358974358976</v>
      </c>
      <c r="P330" s="182">
        <v>0.5957446808510638</v>
      </c>
      <c r="Q330" s="181">
        <v>0.8</v>
      </c>
      <c r="R330" s="180">
        <v>0.87</v>
      </c>
      <c r="S330" s="182">
        <v>0.84</v>
      </c>
      <c r="T330" s="181">
        <v>0.69565217391304346</v>
      </c>
      <c r="U330" s="180">
        <v>0.90625</v>
      </c>
      <c r="V330" s="182">
        <v>0.81818181818181823</v>
      </c>
      <c r="W330" s="181">
        <v>0.73333333333333328</v>
      </c>
      <c r="X330" s="180">
        <v>0.65625</v>
      </c>
      <c r="Y330" s="182">
        <v>0.68085106382978722</v>
      </c>
      <c r="Z330" s="181">
        <v>0.66666666666666663</v>
      </c>
      <c r="AA330" s="180">
        <v>0.84</v>
      </c>
      <c r="AB330" s="182">
        <v>0.77500000000000002</v>
      </c>
      <c r="AC330" s="277"/>
      <c r="AD330" s="278"/>
      <c r="AE330" s="278"/>
      <c r="AF330" s="278"/>
      <c r="AG330" s="278"/>
      <c r="AH330" s="278"/>
      <c r="AI330" s="278"/>
      <c r="AJ330" s="278"/>
    </row>
    <row r="331" spans="1:36" ht="29.25" customHeight="1" x14ac:dyDescent="0.2">
      <c r="A331" s="92" t="s">
        <v>94</v>
      </c>
      <c r="B331" s="31">
        <f>COUNTIFS(DATA!$Q$3:$Q$7183,"3",DATA!$D$3:$D$7183,260)</f>
        <v>0</v>
      </c>
      <c r="C331" s="36">
        <f>IF(B333=0,0,+B331/B333)</f>
        <v>0</v>
      </c>
      <c r="D331" s="42">
        <f>COUNTIFS(DATA!$Q$3:$Q$7183,"3",DATA!$D$3:$D$7183,280)</f>
        <v>3</v>
      </c>
      <c r="E331" s="36">
        <f>+D331/D333</f>
        <v>0.13636363636363635</v>
      </c>
      <c r="F331" s="42">
        <f t="shared" si="84"/>
        <v>3</v>
      </c>
      <c r="G331" s="36">
        <f>+F331/F333</f>
        <v>8.5714285714285715E-2</v>
      </c>
      <c r="H331" s="181">
        <v>0.1111111111111111</v>
      </c>
      <c r="I331" s="180">
        <v>9.5238095238095233E-2</v>
      </c>
      <c r="J331" s="182">
        <v>0.1</v>
      </c>
      <c r="K331" s="181">
        <v>0</v>
      </c>
      <c r="L331" s="180">
        <v>0.125</v>
      </c>
      <c r="M331" s="182">
        <v>9.375E-2</v>
      </c>
      <c r="N331" s="181">
        <v>0</v>
      </c>
      <c r="O331" s="180">
        <v>0.17948717948717949</v>
      </c>
      <c r="P331" s="182">
        <v>0.14893617021276595</v>
      </c>
      <c r="Q331" s="181">
        <v>0.1</v>
      </c>
      <c r="R331" s="180">
        <v>0.1</v>
      </c>
      <c r="S331" s="182">
        <v>0.1</v>
      </c>
      <c r="T331" s="181">
        <v>0.17391304347826086</v>
      </c>
      <c r="U331" s="180">
        <v>6.25E-2</v>
      </c>
      <c r="V331" s="182">
        <v>0.10909090909090909</v>
      </c>
      <c r="W331" s="181">
        <v>6.6666666666666666E-2</v>
      </c>
      <c r="X331" s="180">
        <v>0.125</v>
      </c>
      <c r="Y331" s="182">
        <v>0.10638297872340426</v>
      </c>
      <c r="Z331" s="181">
        <v>0.2</v>
      </c>
      <c r="AA331" s="180">
        <v>0.12</v>
      </c>
      <c r="AB331" s="182">
        <v>0.15</v>
      </c>
      <c r="AC331" s="277"/>
      <c r="AD331" s="278"/>
      <c r="AE331" s="278"/>
      <c r="AF331" s="278"/>
      <c r="AG331" s="278"/>
      <c r="AH331" s="278"/>
      <c r="AI331" s="278"/>
      <c r="AJ331" s="278"/>
    </row>
    <row r="332" spans="1:36" s="41" customFormat="1" ht="15" thickBot="1" x14ac:dyDescent="0.25">
      <c r="A332" s="93" t="s">
        <v>39</v>
      </c>
      <c r="B332" s="31">
        <f>COUNTIFS(DATA!$Q$3:$Q$7183,"4",DATA!$D$3:$D$7183,260)</f>
        <v>1</v>
      </c>
      <c r="C332" s="36">
        <f>IF(B333=0,0,+B332/B333)</f>
        <v>7.6923076923076927E-2</v>
      </c>
      <c r="D332" s="42">
        <f>COUNTIFS(DATA!$Q$3:$Q$7183,"4",DATA!$D$3:$D$7183,280)</f>
        <v>0</v>
      </c>
      <c r="E332" s="36">
        <f>+D332/D333</f>
        <v>0</v>
      </c>
      <c r="F332" s="42">
        <f t="shared" si="84"/>
        <v>1</v>
      </c>
      <c r="G332" s="36">
        <f>+F332/F333</f>
        <v>2.8571428571428571E-2</v>
      </c>
      <c r="H332" s="181">
        <v>0</v>
      </c>
      <c r="I332" s="180">
        <v>4.7619047619047616E-2</v>
      </c>
      <c r="J332" s="182">
        <v>3.3333333333333333E-2</v>
      </c>
      <c r="K332" s="181">
        <v>0</v>
      </c>
      <c r="L332" s="180">
        <v>0</v>
      </c>
      <c r="M332" s="182">
        <v>0</v>
      </c>
      <c r="N332" s="181">
        <v>0</v>
      </c>
      <c r="O332" s="180">
        <v>0.10256410256410256</v>
      </c>
      <c r="P332" s="182">
        <v>8.5106382978723402E-2</v>
      </c>
      <c r="Q332" s="181">
        <v>0.1</v>
      </c>
      <c r="R332" s="180">
        <v>0.03</v>
      </c>
      <c r="S332" s="182">
        <v>0.06</v>
      </c>
      <c r="T332" s="181">
        <v>0</v>
      </c>
      <c r="U332" s="180">
        <v>0</v>
      </c>
      <c r="V332" s="182">
        <v>0</v>
      </c>
      <c r="W332" s="181">
        <v>0.13333333333333333</v>
      </c>
      <c r="X332" s="180">
        <v>6.25E-2</v>
      </c>
      <c r="Y332" s="182">
        <v>8.5106382978723402E-2</v>
      </c>
      <c r="Z332" s="181">
        <v>0</v>
      </c>
      <c r="AA332" s="180">
        <v>0</v>
      </c>
      <c r="AB332" s="182">
        <v>0</v>
      </c>
      <c r="AC332" s="74"/>
      <c r="AF332" s="162"/>
    </row>
    <row r="333" spans="1:36" ht="15.75" thickBot="1" x14ac:dyDescent="0.3">
      <c r="A333" s="111" t="s">
        <v>16</v>
      </c>
      <c r="B333" s="101">
        <f>SUM(B329:B332)</f>
        <v>13</v>
      </c>
      <c r="C333" s="114">
        <f>IF(B333=0,0,+B333/B333)</f>
        <v>1</v>
      </c>
      <c r="D333" s="101">
        <f>SUM(D329:D332)</f>
        <v>22</v>
      </c>
      <c r="E333" s="114">
        <f>+D333/D333</f>
        <v>1</v>
      </c>
      <c r="F333" s="101">
        <f>SUM(F329:F332)</f>
        <v>35</v>
      </c>
      <c r="G333" s="114">
        <f>+F333/F333</f>
        <v>1</v>
      </c>
      <c r="H333" s="183">
        <v>1</v>
      </c>
      <c r="I333" s="184">
        <v>1</v>
      </c>
      <c r="J333" s="185">
        <v>1</v>
      </c>
      <c r="K333" s="183">
        <v>1</v>
      </c>
      <c r="L333" s="184">
        <v>1</v>
      </c>
      <c r="M333" s="185">
        <v>1</v>
      </c>
      <c r="N333" s="183">
        <v>1</v>
      </c>
      <c r="O333" s="184">
        <v>1</v>
      </c>
      <c r="P333" s="185">
        <v>1</v>
      </c>
      <c r="Q333" s="183">
        <v>1</v>
      </c>
      <c r="R333" s="184">
        <v>1</v>
      </c>
      <c r="S333" s="185">
        <v>1</v>
      </c>
      <c r="T333" s="183">
        <v>1</v>
      </c>
      <c r="U333" s="184">
        <v>1</v>
      </c>
      <c r="V333" s="185">
        <v>1</v>
      </c>
      <c r="W333" s="183">
        <v>1</v>
      </c>
      <c r="X333" s="184">
        <v>1</v>
      </c>
      <c r="Y333" s="185">
        <v>1</v>
      </c>
      <c r="Z333" s="183">
        <v>1</v>
      </c>
      <c r="AA333" s="184">
        <v>1</v>
      </c>
      <c r="AB333" s="185">
        <v>1</v>
      </c>
      <c r="AF333" s="162"/>
    </row>
    <row r="334" spans="1:36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</row>
    <row r="335" spans="1:36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</row>
    <row r="336" spans="1:36" ht="14.25" customHeight="1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18" t="s">
        <v>7097</v>
      </c>
      <c r="L336" s="218"/>
      <c r="M336" s="218"/>
      <c r="N336" s="218"/>
      <c r="O336" s="218"/>
      <c r="P336" s="218"/>
      <c r="Q336" s="218"/>
      <c r="R336" s="218"/>
    </row>
    <row r="337" spans="1:18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18"/>
      <c r="L337" s="218"/>
      <c r="M337" s="218"/>
      <c r="N337" s="218"/>
      <c r="O337" s="218"/>
      <c r="P337" s="218"/>
      <c r="Q337" s="218"/>
      <c r="R337" s="218"/>
    </row>
    <row r="338" spans="1:18" ht="14.25" customHeight="1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19" t="s">
        <v>7125</v>
      </c>
      <c r="L338" s="219"/>
      <c r="M338" s="219"/>
      <c r="N338" s="219"/>
      <c r="O338" s="219"/>
      <c r="P338" s="219"/>
      <c r="Q338" s="219"/>
      <c r="R338" s="219"/>
    </row>
    <row r="339" spans="1:18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19"/>
      <c r="L339" s="219"/>
      <c r="M339" s="219"/>
      <c r="N339" s="219"/>
      <c r="O339" s="219"/>
      <c r="P339" s="219"/>
      <c r="Q339" s="219"/>
      <c r="R339" s="219"/>
    </row>
    <row r="340" spans="1:18" ht="14.25" customHeight="1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15" t="s">
        <v>7126</v>
      </c>
      <c r="L340" s="215"/>
      <c r="M340" s="215"/>
      <c r="N340" s="215"/>
      <c r="O340" s="215"/>
      <c r="P340" s="215"/>
      <c r="Q340" s="215"/>
      <c r="R340" s="215"/>
    </row>
    <row r="341" spans="1:18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15"/>
      <c r="L341" s="215"/>
      <c r="M341" s="215"/>
      <c r="N341" s="215"/>
      <c r="O341" s="215"/>
      <c r="P341" s="215"/>
      <c r="Q341" s="215"/>
      <c r="R341" s="215"/>
    </row>
    <row r="342" spans="1:18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</row>
    <row r="343" spans="1:18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</row>
    <row r="344" spans="1:18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</row>
    <row r="345" spans="1:18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</row>
    <row r="346" spans="1:18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</row>
    <row r="347" spans="1:18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</row>
    <row r="348" spans="1:18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</row>
    <row r="349" spans="1:18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</row>
    <row r="350" spans="1:18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</row>
    <row r="351" spans="1:18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</row>
    <row r="352" spans="1:18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</row>
    <row r="353" spans="1:32" x14ac:dyDescent="0.2">
      <c r="A353" s="26"/>
      <c r="B353" s="26"/>
      <c r="C353" s="26"/>
      <c r="D353" s="26"/>
      <c r="E353" s="26"/>
      <c r="F353" s="26"/>
      <c r="G353" s="26"/>
      <c r="H353" s="26"/>
      <c r="I353" s="26"/>
      <c r="J353" s="26"/>
    </row>
    <row r="354" spans="1:32" x14ac:dyDescent="0.2">
      <c r="A354" s="26"/>
      <c r="B354" s="26"/>
      <c r="C354" s="26"/>
      <c r="D354" s="26"/>
      <c r="E354" s="26"/>
      <c r="F354" s="26"/>
      <c r="G354" s="26"/>
      <c r="H354" s="26"/>
      <c r="I354" s="26"/>
      <c r="J354" s="26"/>
    </row>
    <row r="355" spans="1:32" x14ac:dyDescent="0.2">
      <c r="A355" s="26"/>
      <c r="B355" s="26"/>
      <c r="C355" s="26"/>
      <c r="D355" s="26"/>
      <c r="E355" s="26"/>
      <c r="F355" s="26"/>
      <c r="G355" s="26"/>
      <c r="H355" s="26"/>
      <c r="I355" s="26"/>
      <c r="J355" s="26"/>
    </row>
    <row r="356" spans="1:32" x14ac:dyDescent="0.2">
      <c r="A356" s="26"/>
      <c r="B356" s="26"/>
      <c r="C356" s="26"/>
      <c r="D356" s="26"/>
      <c r="E356" s="26"/>
      <c r="F356" s="26"/>
      <c r="G356" s="26"/>
      <c r="H356" s="26"/>
      <c r="I356" s="26"/>
      <c r="J356" s="26"/>
    </row>
    <row r="357" spans="1:32" x14ac:dyDescent="0.2">
      <c r="A357" s="26"/>
      <c r="B357" s="26"/>
      <c r="C357" s="26"/>
      <c r="D357" s="26"/>
      <c r="E357" s="26"/>
      <c r="F357" s="26"/>
      <c r="G357" s="26"/>
      <c r="H357" s="26"/>
      <c r="I357" s="26"/>
      <c r="J357" s="26"/>
    </row>
    <row r="358" spans="1:32" x14ac:dyDescent="0.2">
      <c r="A358" s="26"/>
      <c r="B358" s="26"/>
      <c r="C358" s="26"/>
      <c r="D358" s="26"/>
      <c r="E358" s="26"/>
      <c r="F358" s="26"/>
      <c r="G358" s="26"/>
      <c r="H358" s="26"/>
      <c r="I358" s="26"/>
      <c r="J358" s="26"/>
    </row>
    <row r="359" spans="1:32" x14ac:dyDescent="0.2">
      <c r="A359" s="26"/>
      <c r="B359" s="26"/>
      <c r="C359" s="26"/>
      <c r="D359" s="26"/>
      <c r="E359" s="26"/>
      <c r="F359" s="26"/>
      <c r="G359" s="26"/>
      <c r="H359" s="26"/>
      <c r="I359" s="26"/>
      <c r="J359" s="26"/>
    </row>
    <row r="360" spans="1:32" x14ac:dyDescent="0.2">
      <c r="A360" s="26"/>
      <c r="B360" s="26"/>
      <c r="C360" s="26"/>
      <c r="D360" s="26"/>
      <c r="E360" s="26"/>
      <c r="F360" s="26"/>
      <c r="G360" s="26"/>
      <c r="H360" s="26"/>
      <c r="I360" s="26"/>
      <c r="J360" s="26"/>
    </row>
    <row r="361" spans="1:32" ht="15" thickBot="1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</row>
    <row r="362" spans="1:32" ht="37.5" customHeight="1" thickBot="1" x14ac:dyDescent="0.25">
      <c r="A362" s="240" t="s">
        <v>100</v>
      </c>
      <c r="B362" s="241"/>
      <c r="C362" s="241"/>
      <c r="D362" s="241"/>
      <c r="E362" s="241"/>
      <c r="F362" s="241"/>
      <c r="G362" s="242"/>
      <c r="H362" s="74"/>
      <c r="I362" s="74"/>
      <c r="J362" s="74"/>
      <c r="K362" s="74"/>
    </row>
    <row r="363" spans="1:32" ht="15.75" thickBot="1" x14ac:dyDescent="0.3">
      <c r="A363" s="28"/>
      <c r="B363" s="234" t="str">
        <f>+B73</f>
        <v>Successful</v>
      </c>
      <c r="C363" s="235"/>
      <c r="D363" s="236" t="str">
        <f>+D73</f>
        <v>Unsuccessful</v>
      </c>
      <c r="E363" s="237"/>
      <c r="F363" s="238" t="s">
        <v>16</v>
      </c>
      <c r="G363" s="239"/>
      <c r="H363" s="206">
        <f>+H327</f>
        <v>2021</v>
      </c>
      <c r="I363" s="207"/>
      <c r="J363" s="208"/>
      <c r="K363" s="206">
        <f>+K327</f>
        <v>2020</v>
      </c>
      <c r="L363" s="207"/>
      <c r="M363" s="208"/>
      <c r="N363" s="206">
        <f>+N327</f>
        <v>2019</v>
      </c>
      <c r="O363" s="207"/>
      <c r="P363" s="208"/>
      <c r="Q363" s="206">
        <f>+Q327</f>
        <v>2018</v>
      </c>
      <c r="R363" s="207"/>
      <c r="S363" s="208"/>
      <c r="T363" s="206">
        <f>+T327</f>
        <v>2017</v>
      </c>
      <c r="U363" s="207"/>
      <c r="V363" s="208"/>
      <c r="W363" s="209">
        <f>+W327</f>
        <v>2016</v>
      </c>
      <c r="X363" s="210"/>
      <c r="Y363" s="211"/>
      <c r="Z363" s="209">
        <f>+Z327</f>
        <v>2015</v>
      </c>
      <c r="AA363" s="210"/>
      <c r="AB363" s="211"/>
      <c r="AC363" s="165"/>
      <c r="AF363" s="162"/>
    </row>
    <row r="364" spans="1:32" ht="29.25" customHeight="1" thickBot="1" x14ac:dyDescent="0.25">
      <c r="A364" s="28"/>
      <c r="B364" s="29" t="s">
        <v>37</v>
      </c>
      <c r="C364" s="30" t="s">
        <v>38</v>
      </c>
      <c r="D364" s="29" t="s">
        <v>37</v>
      </c>
      <c r="E364" s="30" t="s">
        <v>38</v>
      </c>
      <c r="F364" s="29" t="s">
        <v>37</v>
      </c>
      <c r="G364" s="30" t="s">
        <v>38</v>
      </c>
      <c r="H364" s="186" t="s">
        <v>132</v>
      </c>
      <c r="I364" s="187" t="s">
        <v>133</v>
      </c>
      <c r="J364" s="44" t="s">
        <v>16</v>
      </c>
      <c r="K364" s="186" t="s">
        <v>132</v>
      </c>
      <c r="L364" s="187" t="s">
        <v>133</v>
      </c>
      <c r="M364" s="44" t="s">
        <v>16</v>
      </c>
      <c r="N364" s="186" t="s">
        <v>132</v>
      </c>
      <c r="O364" s="187" t="s">
        <v>133</v>
      </c>
      <c r="P364" s="44" t="s">
        <v>16</v>
      </c>
      <c r="Q364" s="186" t="s">
        <v>132</v>
      </c>
      <c r="R364" s="187" t="s">
        <v>133</v>
      </c>
      <c r="S364" s="44" t="s">
        <v>16</v>
      </c>
      <c r="T364" s="186" t="s">
        <v>132</v>
      </c>
      <c r="U364" s="187" t="s">
        <v>133</v>
      </c>
      <c r="V364" s="44" t="s">
        <v>16</v>
      </c>
      <c r="W364" s="186" t="s">
        <v>132</v>
      </c>
      <c r="X364" s="187" t="s">
        <v>133</v>
      </c>
      <c r="Y364" s="44" t="s">
        <v>16</v>
      </c>
      <c r="Z364" s="186" t="s">
        <v>132</v>
      </c>
      <c r="AA364" s="187" t="s">
        <v>133</v>
      </c>
      <c r="AB364" s="44" t="s">
        <v>16</v>
      </c>
    </row>
    <row r="365" spans="1:32" x14ac:dyDescent="0.2">
      <c r="A365" s="98" t="s">
        <v>134</v>
      </c>
      <c r="B365" s="31">
        <f>COUNTIFS(DATA!$R$3:$R$7183,1,DATA!$D$3:$D$7183,260)</f>
        <v>0</v>
      </c>
      <c r="C365" s="35">
        <f>IF(B369=0,0,+B365/B369)</f>
        <v>0</v>
      </c>
      <c r="D365" s="31">
        <f>COUNTIFS(DATA!$R$3:$R$7183,1,DATA!$D$3:$D$7183,280)</f>
        <v>2</v>
      </c>
      <c r="E365" s="35">
        <f>+D365/D369</f>
        <v>9.0909090909090912E-2</v>
      </c>
      <c r="F365" s="31">
        <f>+D365+B365</f>
        <v>2</v>
      </c>
      <c r="G365" s="35">
        <f>+F365/F369</f>
        <v>5.7142857142857141E-2</v>
      </c>
      <c r="H365" s="181">
        <v>0</v>
      </c>
      <c r="I365" s="180">
        <v>0</v>
      </c>
      <c r="J365" s="182">
        <v>0</v>
      </c>
      <c r="K365" s="181">
        <v>0</v>
      </c>
      <c r="L365" s="180">
        <v>0</v>
      </c>
      <c r="M365" s="182">
        <v>0</v>
      </c>
      <c r="N365" s="181">
        <v>0</v>
      </c>
      <c r="O365" s="180">
        <v>2.564102564102564E-2</v>
      </c>
      <c r="P365" s="182">
        <v>2.1276595744680851E-2</v>
      </c>
      <c r="Q365" s="181">
        <v>0.05</v>
      </c>
      <c r="R365" s="180">
        <v>0.06</v>
      </c>
      <c r="S365" s="182">
        <v>0.06</v>
      </c>
      <c r="T365" s="181">
        <v>0.17391304347826086</v>
      </c>
      <c r="U365" s="180">
        <v>6.25E-2</v>
      </c>
      <c r="V365" s="182">
        <v>0.10909090909090909</v>
      </c>
      <c r="W365" s="181">
        <v>0</v>
      </c>
      <c r="X365" s="180">
        <v>9.375E-2</v>
      </c>
      <c r="Y365" s="182">
        <v>6.3829787234042548E-2</v>
      </c>
      <c r="Z365" s="181">
        <v>0.13333333333333333</v>
      </c>
      <c r="AA365" s="180">
        <v>0</v>
      </c>
      <c r="AB365" s="182">
        <v>0.05</v>
      </c>
    </row>
    <row r="366" spans="1:32" ht="27.75" customHeight="1" x14ac:dyDescent="0.2">
      <c r="A366" s="99" t="s">
        <v>135</v>
      </c>
      <c r="B366" s="31">
        <f>COUNTIFS(DATA!$R$3:$R$7183,2,DATA!$D$3:$D$7183,260)</f>
        <v>9</v>
      </c>
      <c r="C366" s="36">
        <f>IF(B369=0,0,+B366/B369)</f>
        <v>0.69230769230769229</v>
      </c>
      <c r="D366" s="42">
        <f>COUNTIFS(DATA!$R$3:$R$7183,2,DATA!$D$3:$D$7183,280)</f>
        <v>18</v>
      </c>
      <c r="E366" s="36">
        <f>+D366/D369</f>
        <v>0.81818181818181823</v>
      </c>
      <c r="F366" s="42">
        <f t="shared" ref="F366:F368" si="85">+D366+B366</f>
        <v>27</v>
      </c>
      <c r="G366" s="36">
        <f>+F366/F369</f>
        <v>0.77142857142857146</v>
      </c>
      <c r="H366" s="181">
        <v>0.88888888888888884</v>
      </c>
      <c r="I366" s="180">
        <v>0.8571428571428571</v>
      </c>
      <c r="J366" s="182">
        <v>0.8666666666666667</v>
      </c>
      <c r="K366" s="181">
        <v>0.875</v>
      </c>
      <c r="L366" s="180">
        <v>0.83333333333333337</v>
      </c>
      <c r="M366" s="182">
        <v>0.84375</v>
      </c>
      <c r="N366" s="181">
        <v>1</v>
      </c>
      <c r="O366" s="180">
        <v>0.58974358974358976</v>
      </c>
      <c r="P366" s="182">
        <v>0.65957446808510634</v>
      </c>
      <c r="Q366" s="181">
        <v>0.8</v>
      </c>
      <c r="R366" s="180">
        <v>0.74</v>
      </c>
      <c r="S366" s="182">
        <v>0.76</v>
      </c>
      <c r="T366" s="181">
        <v>0.60869565217391308</v>
      </c>
      <c r="U366" s="180">
        <v>0.8125</v>
      </c>
      <c r="V366" s="182">
        <v>0.72727272727272729</v>
      </c>
      <c r="W366" s="181">
        <v>0.8</v>
      </c>
      <c r="X366" s="180">
        <v>0.65625</v>
      </c>
      <c r="Y366" s="182">
        <v>0.7021276595744681</v>
      </c>
      <c r="Z366" s="181">
        <v>0.66666666666666663</v>
      </c>
      <c r="AA366" s="180">
        <v>0.88</v>
      </c>
      <c r="AB366" s="182">
        <v>0.8</v>
      </c>
    </row>
    <row r="367" spans="1:32" ht="29.25" customHeight="1" x14ac:dyDescent="0.2">
      <c r="A367" s="92" t="s">
        <v>94</v>
      </c>
      <c r="B367" s="31">
        <f>COUNTIFS(DATA!$R$3:$R$7183,"3",DATA!$D$3:$D$7183,260)</f>
        <v>4</v>
      </c>
      <c r="C367" s="36">
        <f>IF(B369=0,0,+B367/B369)</f>
        <v>0.30769230769230771</v>
      </c>
      <c r="D367" s="42">
        <f>COUNTIFS(DATA!$R$3:$R$7183,"3",DATA!$D$3:$D$7183,280)</f>
        <v>2</v>
      </c>
      <c r="E367" s="36">
        <f>+D367/D369</f>
        <v>9.0909090909090912E-2</v>
      </c>
      <c r="F367" s="42">
        <f t="shared" si="85"/>
        <v>6</v>
      </c>
      <c r="G367" s="36">
        <f>+F367/F369</f>
        <v>0.17142857142857143</v>
      </c>
      <c r="H367" s="181">
        <v>0.1111111111111111</v>
      </c>
      <c r="I367" s="180">
        <v>9.5238095238095233E-2</v>
      </c>
      <c r="J367" s="182">
        <v>0.1</v>
      </c>
      <c r="K367" s="181">
        <v>0.125</v>
      </c>
      <c r="L367" s="180">
        <v>0.16666666666666666</v>
      </c>
      <c r="M367" s="182">
        <v>0.15625</v>
      </c>
      <c r="N367" s="181">
        <v>0</v>
      </c>
      <c r="O367" s="180">
        <v>0.25641025641025639</v>
      </c>
      <c r="P367" s="182">
        <v>0.21276595744680851</v>
      </c>
      <c r="Q367" s="181">
        <v>0.05</v>
      </c>
      <c r="R367" s="180">
        <v>0.16</v>
      </c>
      <c r="S367" s="182">
        <v>0.12</v>
      </c>
      <c r="T367" s="181">
        <v>0.21739130434782608</v>
      </c>
      <c r="U367" s="180">
        <v>0.125</v>
      </c>
      <c r="V367" s="182">
        <v>0.16363636363636364</v>
      </c>
      <c r="W367" s="181">
        <v>0.13333333333333333</v>
      </c>
      <c r="X367" s="180">
        <v>0.15625</v>
      </c>
      <c r="Y367" s="182">
        <v>0.14893617021276595</v>
      </c>
      <c r="Z367" s="181">
        <v>0.2</v>
      </c>
      <c r="AA367" s="180">
        <v>0.12</v>
      </c>
      <c r="AB367" s="182">
        <v>0.15</v>
      </c>
    </row>
    <row r="368" spans="1:32" s="41" customFormat="1" ht="15" thickBot="1" x14ac:dyDescent="0.25">
      <c r="A368" s="93" t="s">
        <v>39</v>
      </c>
      <c r="B368" s="31">
        <f>COUNTIFS(DATA!$R$3:$R$7183,"4",DATA!$D$3:$D$7183,260)</f>
        <v>0</v>
      </c>
      <c r="C368" s="36">
        <f>IF(B369=0,0,+B368/B369)</f>
        <v>0</v>
      </c>
      <c r="D368" s="42">
        <f>COUNTIFS(DATA!$R$3:$R$7183,"4",DATA!$D$3:$D$7183,280)</f>
        <v>0</v>
      </c>
      <c r="E368" s="36">
        <f>+D368/D369</f>
        <v>0</v>
      </c>
      <c r="F368" s="42">
        <f t="shared" si="85"/>
        <v>0</v>
      </c>
      <c r="G368" s="36">
        <f>+F368/F369</f>
        <v>0</v>
      </c>
      <c r="H368" s="181">
        <v>0</v>
      </c>
      <c r="I368" s="180">
        <v>4.7619047619047616E-2</v>
      </c>
      <c r="J368" s="182">
        <v>3.3333333333333333E-2</v>
      </c>
      <c r="K368" s="181">
        <v>0</v>
      </c>
      <c r="L368" s="180">
        <v>0</v>
      </c>
      <c r="M368" s="182">
        <v>0</v>
      </c>
      <c r="N368" s="181">
        <v>0</v>
      </c>
      <c r="O368" s="180">
        <v>0.12820512820512819</v>
      </c>
      <c r="P368" s="182">
        <v>0.10638297872340426</v>
      </c>
      <c r="Q368" s="181">
        <v>0.1</v>
      </c>
      <c r="R368" s="180">
        <v>0.03</v>
      </c>
      <c r="S368" s="182">
        <v>0.06</v>
      </c>
      <c r="T368" s="181">
        <v>0</v>
      </c>
      <c r="U368" s="180">
        <v>0</v>
      </c>
      <c r="V368" s="182">
        <v>0</v>
      </c>
      <c r="W368" s="181">
        <v>6.6666666666666666E-2</v>
      </c>
      <c r="X368" s="180">
        <v>9.375E-2</v>
      </c>
      <c r="Y368" s="182">
        <v>8.5106382978723402E-2</v>
      </c>
      <c r="Z368" s="181">
        <v>0</v>
      </c>
      <c r="AA368" s="180">
        <v>0</v>
      </c>
      <c r="AB368" s="182">
        <v>0</v>
      </c>
      <c r="AC368" s="74"/>
      <c r="AF368" s="162"/>
    </row>
    <row r="369" spans="1:32" ht="15.75" thickBot="1" x14ac:dyDescent="0.3">
      <c r="A369" s="111" t="s">
        <v>16</v>
      </c>
      <c r="B369" s="101">
        <f>SUM(B365:B368)</f>
        <v>13</v>
      </c>
      <c r="C369" s="114">
        <f>IF(B369=0,0,+B369/B369)</f>
        <v>1</v>
      </c>
      <c r="D369" s="101">
        <f>SUM(D365:D368)</f>
        <v>22</v>
      </c>
      <c r="E369" s="114">
        <f>+D369/D369</f>
        <v>1</v>
      </c>
      <c r="F369" s="101">
        <f>SUM(F365:F368)</f>
        <v>35</v>
      </c>
      <c r="G369" s="114">
        <f>+F369/F369</f>
        <v>1</v>
      </c>
      <c r="H369" s="183">
        <v>1</v>
      </c>
      <c r="I369" s="184">
        <v>1</v>
      </c>
      <c r="J369" s="185">
        <v>1</v>
      </c>
      <c r="K369" s="183">
        <v>1</v>
      </c>
      <c r="L369" s="184">
        <v>1</v>
      </c>
      <c r="M369" s="185">
        <v>1</v>
      </c>
      <c r="N369" s="183">
        <v>1</v>
      </c>
      <c r="O369" s="184">
        <v>1</v>
      </c>
      <c r="P369" s="185">
        <v>1</v>
      </c>
      <c r="Q369" s="183">
        <v>1</v>
      </c>
      <c r="R369" s="184">
        <v>1</v>
      </c>
      <c r="S369" s="185">
        <v>1</v>
      </c>
      <c r="T369" s="183">
        <v>1</v>
      </c>
      <c r="U369" s="184">
        <v>1</v>
      </c>
      <c r="V369" s="185">
        <v>1</v>
      </c>
      <c r="W369" s="183">
        <v>1</v>
      </c>
      <c r="X369" s="184">
        <v>1</v>
      </c>
      <c r="Y369" s="185">
        <v>1</v>
      </c>
      <c r="Z369" s="183">
        <v>1</v>
      </c>
      <c r="AA369" s="184">
        <v>1</v>
      </c>
      <c r="AB369" s="185">
        <v>1</v>
      </c>
      <c r="AF369" s="162"/>
    </row>
    <row r="370" spans="1:32" x14ac:dyDescent="0.2">
      <c r="A370" s="26"/>
      <c r="B370" s="26"/>
      <c r="C370" s="26"/>
      <c r="D370" s="26"/>
      <c r="E370" s="26"/>
      <c r="F370" s="26"/>
      <c r="G370" s="26"/>
      <c r="H370" s="26"/>
      <c r="I370" s="26"/>
      <c r="J370" s="26"/>
    </row>
    <row r="371" spans="1:32" x14ac:dyDescent="0.2">
      <c r="A371" s="26"/>
      <c r="B371" s="26"/>
      <c r="C371" s="26"/>
      <c r="D371" s="26"/>
      <c r="E371" s="26"/>
      <c r="F371" s="26"/>
      <c r="G371" s="26"/>
      <c r="H371" s="26"/>
      <c r="I371" s="26"/>
      <c r="J371" s="26"/>
    </row>
    <row r="372" spans="1:32" x14ac:dyDescent="0.2">
      <c r="A372" s="26"/>
      <c r="B372" s="26"/>
      <c r="C372" s="26"/>
      <c r="D372" s="26"/>
      <c r="E372" s="26"/>
      <c r="F372" s="26"/>
      <c r="G372" s="26"/>
      <c r="H372" s="26"/>
      <c r="I372" s="26"/>
      <c r="J372" s="26"/>
    </row>
    <row r="373" spans="1:32" x14ac:dyDescent="0.2">
      <c r="A373" s="26"/>
      <c r="B373" s="26"/>
      <c r="C373" s="26"/>
      <c r="D373" s="26"/>
      <c r="E373" s="26"/>
      <c r="F373" s="26"/>
      <c r="G373" s="26"/>
      <c r="H373" s="26"/>
      <c r="I373" s="26"/>
      <c r="J373" s="26"/>
    </row>
    <row r="374" spans="1:32" ht="14.25" customHeight="1" x14ac:dyDescent="0.2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18" t="s">
        <v>7269</v>
      </c>
      <c r="L374" s="218"/>
      <c r="M374" s="218"/>
      <c r="N374" s="218"/>
      <c r="O374" s="218"/>
      <c r="P374" s="218"/>
      <c r="Q374" s="218"/>
      <c r="R374" s="218"/>
    </row>
    <row r="375" spans="1:32" x14ac:dyDescent="0.2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18"/>
      <c r="L375" s="218"/>
      <c r="M375" s="218"/>
      <c r="N375" s="218"/>
      <c r="O375" s="218"/>
      <c r="P375" s="218"/>
      <c r="Q375" s="218"/>
      <c r="R375" s="218"/>
    </row>
    <row r="376" spans="1:32" ht="14.25" customHeight="1" x14ac:dyDescent="0.2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19" t="s">
        <v>7127</v>
      </c>
      <c r="L376" s="219"/>
      <c r="M376" s="219"/>
      <c r="N376" s="219"/>
      <c r="O376" s="219"/>
      <c r="P376" s="219"/>
      <c r="Q376" s="219"/>
      <c r="R376" s="219"/>
    </row>
    <row r="377" spans="1:32" x14ac:dyDescent="0.2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19"/>
      <c r="L377" s="219"/>
      <c r="M377" s="219"/>
      <c r="N377" s="219"/>
      <c r="O377" s="219"/>
      <c r="P377" s="219"/>
      <c r="Q377" s="219"/>
      <c r="R377" s="219"/>
    </row>
    <row r="378" spans="1:32" ht="14.25" customHeight="1" x14ac:dyDescent="0.2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15" t="s">
        <v>7128</v>
      </c>
      <c r="L378" s="215"/>
      <c r="M378" s="215"/>
      <c r="N378" s="215"/>
      <c r="O378" s="215"/>
      <c r="P378" s="215"/>
      <c r="Q378" s="215"/>
      <c r="R378" s="215"/>
    </row>
    <row r="379" spans="1:32" x14ac:dyDescent="0.2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15"/>
      <c r="L379" s="215"/>
      <c r="M379" s="215"/>
      <c r="N379" s="215"/>
      <c r="O379" s="215"/>
      <c r="P379" s="215"/>
      <c r="Q379" s="215"/>
      <c r="R379" s="215"/>
    </row>
    <row r="380" spans="1:32" x14ac:dyDescent="0.2">
      <c r="A380" s="26"/>
      <c r="B380" s="26"/>
      <c r="C380" s="26"/>
      <c r="D380" s="26"/>
      <c r="E380" s="26"/>
      <c r="F380" s="26"/>
      <c r="G380" s="26"/>
      <c r="H380" s="26"/>
      <c r="I380" s="26"/>
      <c r="J380" s="26"/>
    </row>
    <row r="381" spans="1:32" x14ac:dyDescent="0.2">
      <c r="A381" s="26"/>
      <c r="B381" s="26"/>
      <c r="C381" s="26"/>
      <c r="D381" s="26"/>
      <c r="E381" s="26"/>
      <c r="F381" s="26"/>
      <c r="G381" s="26"/>
      <c r="H381" s="26"/>
      <c r="I381" s="26"/>
      <c r="J381" s="26"/>
    </row>
    <row r="382" spans="1:32" x14ac:dyDescent="0.2">
      <c r="A382" s="26"/>
      <c r="B382" s="26"/>
      <c r="C382" s="26"/>
      <c r="D382" s="26"/>
      <c r="E382" s="26"/>
      <c r="F382" s="26"/>
      <c r="G382" s="26"/>
      <c r="H382" s="26"/>
      <c r="I382" s="26"/>
      <c r="J382" s="26"/>
    </row>
    <row r="383" spans="1:32" x14ac:dyDescent="0.2">
      <c r="A383" s="26"/>
      <c r="B383" s="26"/>
      <c r="C383" s="26"/>
      <c r="D383" s="26"/>
      <c r="E383" s="26"/>
      <c r="F383" s="26"/>
      <c r="G383" s="26"/>
      <c r="H383" s="26"/>
      <c r="I383" s="26"/>
      <c r="J383" s="26"/>
    </row>
    <row r="384" spans="1:32" x14ac:dyDescent="0.2">
      <c r="A384" s="26"/>
      <c r="B384" s="26"/>
      <c r="C384" s="26"/>
      <c r="D384" s="26"/>
      <c r="E384" s="26"/>
      <c r="F384" s="26"/>
      <c r="G384" s="26"/>
      <c r="H384" s="26"/>
      <c r="I384" s="26"/>
      <c r="J384" s="26"/>
    </row>
    <row r="385" spans="1:32" x14ac:dyDescent="0.2">
      <c r="A385" s="26"/>
      <c r="B385" s="26"/>
      <c r="C385" s="26"/>
      <c r="D385" s="26"/>
      <c r="E385" s="26"/>
      <c r="F385" s="26"/>
      <c r="G385" s="26"/>
      <c r="H385" s="26"/>
      <c r="I385" s="26"/>
      <c r="J385" s="26"/>
    </row>
    <row r="386" spans="1:32" x14ac:dyDescent="0.2">
      <c r="A386" s="26"/>
      <c r="B386" s="26"/>
      <c r="C386" s="26"/>
      <c r="D386" s="26"/>
      <c r="E386" s="26"/>
      <c r="F386" s="26"/>
      <c r="G386" s="26"/>
      <c r="H386" s="26"/>
      <c r="I386" s="26"/>
      <c r="J386" s="26"/>
    </row>
    <row r="387" spans="1:32" x14ac:dyDescent="0.2">
      <c r="A387" s="26"/>
      <c r="B387" s="26"/>
      <c r="C387" s="26"/>
      <c r="D387" s="26"/>
      <c r="E387" s="26"/>
      <c r="F387" s="26"/>
      <c r="G387" s="26"/>
      <c r="H387" s="26"/>
      <c r="I387" s="26"/>
      <c r="J387" s="26"/>
    </row>
    <row r="388" spans="1:32" x14ac:dyDescent="0.2">
      <c r="A388" s="26"/>
      <c r="B388" s="26"/>
      <c r="C388" s="26"/>
      <c r="D388" s="26"/>
      <c r="E388" s="26"/>
      <c r="F388" s="26"/>
      <c r="G388" s="26"/>
      <c r="H388" s="26"/>
      <c r="I388" s="26"/>
      <c r="J388" s="26"/>
    </row>
    <row r="389" spans="1:32" x14ac:dyDescent="0.2">
      <c r="A389" s="26"/>
      <c r="B389" s="26"/>
      <c r="C389" s="26"/>
      <c r="D389" s="26"/>
      <c r="E389" s="26"/>
      <c r="F389" s="26"/>
      <c r="G389" s="26"/>
      <c r="H389" s="26"/>
      <c r="I389" s="26"/>
      <c r="J389" s="26"/>
    </row>
    <row r="390" spans="1:32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</row>
    <row r="391" spans="1:32" x14ac:dyDescent="0.2">
      <c r="A391" s="26"/>
      <c r="B391" s="26"/>
      <c r="C391" s="26"/>
      <c r="D391" s="26"/>
      <c r="E391" s="26"/>
      <c r="F391" s="26"/>
      <c r="G391" s="26"/>
      <c r="H391" s="26"/>
      <c r="I391" s="26"/>
      <c r="J391" s="26"/>
    </row>
    <row r="392" spans="1:32" x14ac:dyDescent="0.2">
      <c r="A392" s="26"/>
      <c r="B392" s="26"/>
      <c r="C392" s="26"/>
      <c r="D392" s="26"/>
      <c r="E392" s="26"/>
      <c r="F392" s="26"/>
      <c r="G392" s="26"/>
      <c r="H392" s="26"/>
      <c r="I392" s="26"/>
      <c r="J392" s="26"/>
    </row>
    <row r="393" spans="1:32" x14ac:dyDescent="0.2">
      <c r="A393" s="26"/>
      <c r="B393" s="26"/>
      <c r="C393" s="26"/>
      <c r="D393" s="26"/>
      <c r="E393" s="26"/>
      <c r="F393" s="26"/>
      <c r="G393" s="26"/>
      <c r="H393" s="26"/>
      <c r="I393" s="26"/>
      <c r="J393" s="26"/>
    </row>
    <row r="394" spans="1:32" x14ac:dyDescent="0.2">
      <c r="A394" s="26"/>
      <c r="B394" s="26"/>
      <c r="C394" s="26"/>
      <c r="D394" s="26"/>
      <c r="E394" s="26"/>
      <c r="F394" s="26"/>
      <c r="G394" s="26"/>
      <c r="H394" s="26"/>
      <c r="I394" s="26"/>
      <c r="J394" s="26"/>
    </row>
    <row r="395" spans="1:32" x14ac:dyDescent="0.2">
      <c r="A395" s="26"/>
      <c r="B395" s="26"/>
      <c r="C395" s="26"/>
      <c r="D395" s="26"/>
      <c r="E395" s="26"/>
      <c r="F395" s="26"/>
      <c r="G395" s="26"/>
      <c r="H395" s="26"/>
      <c r="I395" s="26"/>
      <c r="J395" s="26"/>
    </row>
    <row r="396" spans="1:32" x14ac:dyDescent="0.2">
      <c r="A396" s="26"/>
      <c r="B396" s="26"/>
      <c r="C396" s="26"/>
      <c r="D396" s="26"/>
      <c r="E396" s="26"/>
      <c r="F396" s="26"/>
      <c r="G396" s="26"/>
      <c r="H396" s="26"/>
      <c r="I396" s="26"/>
      <c r="J396" s="26"/>
    </row>
    <row r="397" spans="1:32" ht="15" thickBot="1" x14ac:dyDescent="0.25">
      <c r="A397" s="33"/>
      <c r="B397" s="33"/>
      <c r="C397" s="33"/>
      <c r="D397" s="33"/>
      <c r="E397" s="33"/>
      <c r="F397" s="33"/>
      <c r="G397" s="33"/>
      <c r="H397" s="33"/>
      <c r="I397" s="33"/>
      <c r="J397" s="33"/>
    </row>
    <row r="398" spans="1:32" s="41" customFormat="1" ht="42" customHeight="1" thickBot="1" x14ac:dyDescent="0.25">
      <c r="A398" s="240" t="s">
        <v>101</v>
      </c>
      <c r="B398" s="241"/>
      <c r="C398" s="241"/>
      <c r="D398" s="241"/>
      <c r="E398" s="241"/>
      <c r="F398" s="241"/>
      <c r="G398" s="242"/>
      <c r="H398" s="74"/>
      <c r="I398" s="74"/>
      <c r="J398" s="74"/>
      <c r="K398" s="74"/>
      <c r="N398" s="162"/>
    </row>
    <row r="399" spans="1:32" s="41" customFormat="1" ht="15.75" thickBot="1" x14ac:dyDescent="0.3">
      <c r="A399" s="28"/>
      <c r="B399" s="234" t="str">
        <f>+B73</f>
        <v>Successful</v>
      </c>
      <c r="C399" s="235"/>
      <c r="D399" s="236" t="str">
        <f>+D73</f>
        <v>Unsuccessful</v>
      </c>
      <c r="E399" s="237"/>
      <c r="F399" s="238" t="s">
        <v>16</v>
      </c>
      <c r="G399" s="239"/>
      <c r="H399" s="206">
        <f>+H363</f>
        <v>2021</v>
      </c>
      <c r="I399" s="207"/>
      <c r="J399" s="208"/>
      <c r="K399" s="206">
        <f>+K363</f>
        <v>2020</v>
      </c>
      <c r="L399" s="207"/>
      <c r="M399" s="208"/>
      <c r="N399" s="206">
        <f>+N363</f>
        <v>2019</v>
      </c>
      <c r="O399" s="207"/>
      <c r="P399" s="208"/>
      <c r="Q399" s="206">
        <f>+Q363</f>
        <v>2018</v>
      </c>
      <c r="R399" s="207"/>
      <c r="S399" s="208"/>
      <c r="T399" s="206">
        <f>+T363</f>
        <v>2017</v>
      </c>
      <c r="U399" s="207"/>
      <c r="V399" s="208"/>
      <c r="W399" s="209">
        <f>+W363</f>
        <v>2016</v>
      </c>
      <c r="X399" s="210"/>
      <c r="Y399" s="211"/>
      <c r="Z399" s="209">
        <f>+Z363</f>
        <v>2015</v>
      </c>
      <c r="AA399" s="210"/>
      <c r="AB399" s="211"/>
      <c r="AC399" s="165"/>
      <c r="AF399" s="162"/>
    </row>
    <row r="400" spans="1:32" s="41" customFormat="1" ht="29.25" customHeight="1" thickBot="1" x14ac:dyDescent="0.25">
      <c r="A400" s="28"/>
      <c r="B400" s="29" t="s">
        <v>37</v>
      </c>
      <c r="C400" s="30" t="s">
        <v>38</v>
      </c>
      <c r="D400" s="29" t="s">
        <v>37</v>
      </c>
      <c r="E400" s="30" t="s">
        <v>38</v>
      </c>
      <c r="F400" s="29" t="s">
        <v>37</v>
      </c>
      <c r="G400" s="30" t="s">
        <v>38</v>
      </c>
      <c r="H400" s="186" t="s">
        <v>132</v>
      </c>
      <c r="I400" s="187" t="s">
        <v>133</v>
      </c>
      <c r="J400" s="44" t="s">
        <v>16</v>
      </c>
      <c r="K400" s="186" t="s">
        <v>132</v>
      </c>
      <c r="L400" s="187" t="s">
        <v>133</v>
      </c>
      <c r="M400" s="44" t="s">
        <v>16</v>
      </c>
      <c r="N400" s="186" t="s">
        <v>132</v>
      </c>
      <c r="O400" s="187" t="s">
        <v>133</v>
      </c>
      <c r="P400" s="44" t="s">
        <v>16</v>
      </c>
      <c r="Q400" s="186" t="s">
        <v>132</v>
      </c>
      <c r="R400" s="187" t="s">
        <v>133</v>
      </c>
      <c r="S400" s="44" t="s">
        <v>16</v>
      </c>
      <c r="T400" s="186" t="s">
        <v>132</v>
      </c>
      <c r="U400" s="187" t="s">
        <v>133</v>
      </c>
      <c r="V400" s="44" t="s">
        <v>16</v>
      </c>
      <c r="W400" s="186" t="s">
        <v>132</v>
      </c>
      <c r="X400" s="187" t="s">
        <v>133</v>
      </c>
      <c r="Y400" s="44" t="s">
        <v>16</v>
      </c>
      <c r="Z400" s="186" t="s">
        <v>132</v>
      </c>
      <c r="AA400" s="187" t="s">
        <v>133</v>
      </c>
      <c r="AB400" s="44" t="s">
        <v>16</v>
      </c>
    </row>
    <row r="401" spans="1:32" s="41" customFormat="1" x14ac:dyDescent="0.2">
      <c r="A401" s="98" t="s">
        <v>134</v>
      </c>
      <c r="B401" s="31">
        <f>COUNTIFS(DATA!$S$3:$S$7183,1,DATA!$D$3:$D$7183,260)</f>
        <v>197</v>
      </c>
      <c r="C401" s="35">
        <f>+B401/$B$406</f>
        <v>0.86026200873362446</v>
      </c>
      <c r="D401" s="31">
        <f>COUNTIFS(DATA!$S$3:$S$7183,1,DATA!$D$3:$D$7183,280)</f>
        <v>77</v>
      </c>
      <c r="E401" s="35">
        <f>+D401/$D$406</f>
        <v>0.79381443298969068</v>
      </c>
      <c r="F401" s="31">
        <f>+D401+B401</f>
        <v>274</v>
      </c>
      <c r="G401" s="35">
        <f>+F401/$F$406</f>
        <v>0.8404907975460123</v>
      </c>
      <c r="H401" s="181">
        <v>0.90338164251207731</v>
      </c>
      <c r="I401" s="180">
        <v>0.68478260869565222</v>
      </c>
      <c r="J401" s="182">
        <v>0.83612040133779264</v>
      </c>
      <c r="K401" s="181">
        <v>0.8875502008032129</v>
      </c>
      <c r="L401" s="180">
        <v>0.76642335766423353</v>
      </c>
      <c r="M401" s="182">
        <v>0.84455958549222798</v>
      </c>
      <c r="N401" s="181">
        <v>0.90112994350282483</v>
      </c>
      <c r="O401" s="180">
        <v>0.73750000000000004</v>
      </c>
      <c r="P401" s="182">
        <v>0.85019455252918286</v>
      </c>
      <c r="Q401" s="181">
        <v>0.86</v>
      </c>
      <c r="R401" s="180">
        <v>0.77</v>
      </c>
      <c r="S401" s="182">
        <v>0.83</v>
      </c>
      <c r="T401" s="181">
        <v>0.83838383838383834</v>
      </c>
      <c r="U401" s="180">
        <v>0.76687116564417179</v>
      </c>
      <c r="V401" s="182">
        <v>0.81304347826086953</v>
      </c>
      <c r="W401" s="181">
        <v>0.87390029325513197</v>
      </c>
      <c r="X401" s="180">
        <v>0.73611111111111116</v>
      </c>
      <c r="Y401" s="182">
        <v>0.83298969072164952</v>
      </c>
      <c r="Z401" s="181">
        <v>0.8875739644970414</v>
      </c>
      <c r="AA401" s="180">
        <v>0.67889908256880738</v>
      </c>
      <c r="AB401" s="182">
        <v>0.84222737819025517</v>
      </c>
    </row>
    <row r="402" spans="1:32" s="41" customFormat="1" x14ac:dyDescent="0.2">
      <c r="A402" s="92" t="s">
        <v>89</v>
      </c>
      <c r="B402" s="31">
        <f>COUNTIFS(DATA!$S$3:$S$7183,2,DATA!$D$3:$D$7183,260)</f>
        <v>17</v>
      </c>
      <c r="C402" s="35">
        <f t="shared" ref="C402:C405" si="86">+B402/$B$406</f>
        <v>7.4235807860262015E-2</v>
      </c>
      <c r="D402" s="42">
        <f>COUNTIFS(DATA!$S$3:$S$7183,2,DATA!$D$3:$D$7183,280)</f>
        <v>8</v>
      </c>
      <c r="E402" s="35">
        <f t="shared" ref="E402:E405" si="87">+D402/$D$406</f>
        <v>8.247422680412371E-2</v>
      </c>
      <c r="F402" s="42">
        <f t="shared" ref="F402:F405" si="88">+D402+B402</f>
        <v>25</v>
      </c>
      <c r="G402" s="35">
        <f t="shared" ref="G402:G405" si="89">+F402/$F$406</f>
        <v>7.6687116564417179E-2</v>
      </c>
      <c r="H402" s="181">
        <v>5.3140096618357488E-2</v>
      </c>
      <c r="I402" s="180">
        <v>0.16304347826086957</v>
      </c>
      <c r="J402" s="182">
        <v>8.6956521739130432E-2</v>
      </c>
      <c r="K402" s="181">
        <v>8.0321285140562249E-2</v>
      </c>
      <c r="L402" s="180">
        <v>7.2992700729927001E-2</v>
      </c>
      <c r="M402" s="182">
        <v>7.7720207253886009E-2</v>
      </c>
      <c r="N402" s="181">
        <v>6.7796610169491525E-2</v>
      </c>
      <c r="O402" s="180">
        <v>0.15</v>
      </c>
      <c r="P402" s="182">
        <v>9.3385214007782102E-2</v>
      </c>
      <c r="Q402" s="181">
        <v>0.08</v>
      </c>
      <c r="R402" s="180">
        <v>0.12</v>
      </c>
      <c r="S402" s="182">
        <v>0.09</v>
      </c>
      <c r="T402" s="181">
        <v>0.10774410774410774</v>
      </c>
      <c r="U402" s="180">
        <v>0.11042944785276074</v>
      </c>
      <c r="V402" s="182">
        <v>0.10869565217391304</v>
      </c>
      <c r="W402" s="181">
        <v>7.331378299120235E-2</v>
      </c>
      <c r="X402" s="180">
        <v>0.11805555555555555</v>
      </c>
      <c r="Y402" s="182">
        <v>8.6597938144329895E-2</v>
      </c>
      <c r="Z402" s="181">
        <v>6.2130177514792898E-2</v>
      </c>
      <c r="AA402" s="180">
        <v>0.13761467889908258</v>
      </c>
      <c r="AB402" s="182">
        <v>7.8886310904872387E-2</v>
      </c>
    </row>
    <row r="403" spans="1:32" s="41" customFormat="1" x14ac:dyDescent="0.2">
      <c r="A403" s="92" t="s">
        <v>90</v>
      </c>
      <c r="B403" s="31">
        <f>COUNTIFS(DATA!$S$3:$S$7183,"3",DATA!$D$3:$D$7183,260)</f>
        <v>4</v>
      </c>
      <c r="C403" s="35">
        <f t="shared" si="86"/>
        <v>1.7467248908296942E-2</v>
      </c>
      <c r="D403" s="42">
        <f>COUNTIFS(DATA!$S$3:$S$7183,"3",DATA!$D$3:$D$7183,280)</f>
        <v>2</v>
      </c>
      <c r="E403" s="35">
        <f t="shared" si="87"/>
        <v>2.0618556701030927E-2</v>
      </c>
      <c r="F403" s="42">
        <f t="shared" si="88"/>
        <v>6</v>
      </c>
      <c r="G403" s="35">
        <f t="shared" si="89"/>
        <v>1.8404907975460124E-2</v>
      </c>
      <c r="H403" s="181">
        <v>2.4154589371980676E-2</v>
      </c>
      <c r="I403" s="180">
        <v>2.1739130434782608E-2</v>
      </c>
      <c r="J403" s="182">
        <v>2.3411371237458192E-2</v>
      </c>
      <c r="K403" s="181">
        <v>4.0160642570281121E-3</v>
      </c>
      <c r="L403" s="180">
        <v>5.1094890510948905E-2</v>
      </c>
      <c r="M403" s="182">
        <v>2.072538860103627E-2</v>
      </c>
      <c r="N403" s="181">
        <v>1.1299435028248588E-2</v>
      </c>
      <c r="O403" s="180">
        <v>3.125E-2</v>
      </c>
      <c r="P403" s="182">
        <v>1.7509727626459144E-2</v>
      </c>
      <c r="Q403" s="181">
        <v>0.02</v>
      </c>
      <c r="R403" s="180">
        <v>0.03</v>
      </c>
      <c r="S403" s="182">
        <v>0.02</v>
      </c>
      <c r="T403" s="181">
        <v>3.0303030303030304E-2</v>
      </c>
      <c r="U403" s="180">
        <v>3.6809815950920248E-2</v>
      </c>
      <c r="V403" s="182">
        <v>3.2608695652173912E-2</v>
      </c>
      <c r="W403" s="181">
        <v>5.8651026392961877E-3</v>
      </c>
      <c r="X403" s="180">
        <v>8.3333333333333329E-2</v>
      </c>
      <c r="Y403" s="182">
        <v>2.88659793814433E-2</v>
      </c>
      <c r="Z403" s="181">
        <v>1.1834319526627219E-2</v>
      </c>
      <c r="AA403" s="180">
        <v>5.5045871559633031E-2</v>
      </c>
      <c r="AB403" s="182">
        <v>2.3201856148491878E-2</v>
      </c>
    </row>
    <row r="404" spans="1:32" s="41" customFormat="1" x14ac:dyDescent="0.2">
      <c r="A404" s="82" t="s">
        <v>91</v>
      </c>
      <c r="B404" s="31">
        <f>COUNTIFS(DATA!$S$3:$S$7183,"4",DATA!$D$3:$D$7183,260,DATA!$I$3:$I$7183,"D")</f>
        <v>3</v>
      </c>
      <c r="C404" s="35">
        <f t="shared" si="86"/>
        <v>1.3100436681222707E-2</v>
      </c>
      <c r="D404" s="21">
        <f>COUNTIFS(DATA!$S$3:$S$7183,"4",DATA!$D$3:$D$7183,280,DATA!$I$3:$I$7183,"D")</f>
        <v>9</v>
      </c>
      <c r="E404" s="35">
        <f t="shared" si="87"/>
        <v>9.2783505154639179E-2</v>
      </c>
      <c r="F404" s="21">
        <f t="shared" si="88"/>
        <v>12</v>
      </c>
      <c r="G404" s="35">
        <f t="shared" si="89"/>
        <v>3.6809815950920248E-2</v>
      </c>
      <c r="H404" s="181">
        <v>9.6618357487922701E-3</v>
      </c>
      <c r="I404" s="180">
        <v>7.6086956521739135E-2</v>
      </c>
      <c r="J404" s="182">
        <v>3.0100334448160536E-2</v>
      </c>
      <c r="K404" s="181">
        <v>1.6064257028112448E-2</v>
      </c>
      <c r="L404" s="180">
        <v>6.569343065693431E-2</v>
      </c>
      <c r="M404" s="182">
        <v>3.367875647668394E-2</v>
      </c>
      <c r="N404" s="181">
        <v>0</v>
      </c>
      <c r="O404" s="180">
        <v>6.25E-2</v>
      </c>
      <c r="P404" s="182">
        <v>1.9455252918287938E-2</v>
      </c>
      <c r="Q404" s="181">
        <v>0.01</v>
      </c>
      <c r="R404" s="180">
        <v>0.05</v>
      </c>
      <c r="S404" s="182">
        <v>0.02</v>
      </c>
      <c r="T404" s="181">
        <v>6.7340067340067337E-3</v>
      </c>
      <c r="U404" s="180">
        <v>5.5214723926380369E-2</v>
      </c>
      <c r="V404" s="182">
        <v>2.391304347826087E-2</v>
      </c>
      <c r="W404" s="181">
        <v>1.1730205278592375E-2</v>
      </c>
      <c r="X404" s="180">
        <v>2.7777777777777776E-2</v>
      </c>
      <c r="Y404" s="182">
        <v>1.6494845360824743E-2</v>
      </c>
      <c r="Z404" s="181">
        <v>1.1834319526627219E-2</v>
      </c>
      <c r="AA404" s="180">
        <v>8.2568807339449546E-2</v>
      </c>
      <c r="AB404" s="182">
        <v>3.0162412993039442E-2</v>
      </c>
    </row>
    <row r="405" spans="1:32" s="41" customFormat="1" ht="15" thickBot="1" x14ac:dyDescent="0.25">
      <c r="A405" s="93" t="s">
        <v>39</v>
      </c>
      <c r="B405" s="31">
        <f>COUNTIFS(DATA!$S$3:$S$7183,"5",DATA!$D$3:$D$7183,260,DATA!$I$3:$I$7183,"D")</f>
        <v>8</v>
      </c>
      <c r="C405" s="35">
        <f t="shared" si="86"/>
        <v>3.4934497816593885E-2</v>
      </c>
      <c r="D405" s="21">
        <f>COUNTIFS(DATA!$S$3:$S$7183,"5",DATA!$D$3:$D$7183,280,DATA!$I$3:$I$7183,"D")</f>
        <v>1</v>
      </c>
      <c r="E405" s="35">
        <f t="shared" si="87"/>
        <v>1.0309278350515464E-2</v>
      </c>
      <c r="F405" s="21">
        <f t="shared" si="88"/>
        <v>9</v>
      </c>
      <c r="G405" s="35">
        <f t="shared" si="89"/>
        <v>2.7607361963190184E-2</v>
      </c>
      <c r="H405" s="181">
        <v>9.6618357487922701E-3</v>
      </c>
      <c r="I405" s="180">
        <v>5.434782608695652E-2</v>
      </c>
      <c r="J405" s="182">
        <v>2.3411371237458192E-2</v>
      </c>
      <c r="K405" s="181">
        <v>1.2048192771084338E-2</v>
      </c>
      <c r="L405" s="180">
        <v>4.3795620437956206E-2</v>
      </c>
      <c r="M405" s="182">
        <v>2.3316062176165803E-2</v>
      </c>
      <c r="N405" s="181">
        <v>1.977401129943503E-2</v>
      </c>
      <c r="O405" s="180">
        <v>1.8749999999999999E-2</v>
      </c>
      <c r="P405" s="182">
        <v>1.9455252918287938E-2</v>
      </c>
      <c r="Q405" s="181">
        <v>0.03</v>
      </c>
      <c r="R405" s="180">
        <v>0.04</v>
      </c>
      <c r="S405" s="182">
        <v>0.03</v>
      </c>
      <c r="T405" s="181">
        <v>1.6835016835016835E-2</v>
      </c>
      <c r="U405" s="180">
        <v>3.0674846625766871E-2</v>
      </c>
      <c r="V405" s="182">
        <v>2.1739130434782608E-2</v>
      </c>
      <c r="W405" s="181">
        <v>3.519061583577713E-2</v>
      </c>
      <c r="X405" s="180">
        <v>3.4722222222222224E-2</v>
      </c>
      <c r="Y405" s="182">
        <v>3.5051546391752578E-2</v>
      </c>
      <c r="Z405" s="181">
        <v>2.6627218934911243E-2</v>
      </c>
      <c r="AA405" s="180">
        <v>4.5871559633027525E-2</v>
      </c>
      <c r="AB405" s="182">
        <v>2.5522041763341066E-2</v>
      </c>
    </row>
    <row r="406" spans="1:32" s="41" customFormat="1" ht="15.75" thickBot="1" x14ac:dyDescent="0.3">
      <c r="A406" s="111" t="s">
        <v>16</v>
      </c>
      <c r="B406" s="101">
        <f>SUM(B401:B405)</f>
        <v>229</v>
      </c>
      <c r="C406" s="114">
        <f>+B406/$B$406</f>
        <v>1</v>
      </c>
      <c r="D406" s="101">
        <f>SUM(D401:D405)</f>
        <v>97</v>
      </c>
      <c r="E406" s="114">
        <f>+D406/$D$406</f>
        <v>1</v>
      </c>
      <c r="F406" s="101">
        <f>SUM(F401:F405)</f>
        <v>326</v>
      </c>
      <c r="G406" s="114">
        <f>+F406/$F$406</f>
        <v>1</v>
      </c>
      <c r="H406" s="183">
        <v>1</v>
      </c>
      <c r="I406" s="184">
        <v>1</v>
      </c>
      <c r="J406" s="185">
        <v>1</v>
      </c>
      <c r="K406" s="183">
        <v>1</v>
      </c>
      <c r="L406" s="184">
        <v>1</v>
      </c>
      <c r="M406" s="185">
        <v>1</v>
      </c>
      <c r="N406" s="183">
        <v>1</v>
      </c>
      <c r="O406" s="184">
        <v>1</v>
      </c>
      <c r="P406" s="185">
        <v>1</v>
      </c>
      <c r="Q406" s="183">
        <v>1</v>
      </c>
      <c r="R406" s="184">
        <v>1</v>
      </c>
      <c r="S406" s="185">
        <v>1</v>
      </c>
      <c r="T406" s="183">
        <v>1</v>
      </c>
      <c r="U406" s="184">
        <v>1</v>
      </c>
      <c r="V406" s="185">
        <v>1</v>
      </c>
      <c r="W406" s="183">
        <v>1</v>
      </c>
      <c r="X406" s="184">
        <v>1</v>
      </c>
      <c r="Y406" s="185">
        <v>1</v>
      </c>
      <c r="Z406" s="183">
        <v>1</v>
      </c>
      <c r="AA406" s="184">
        <v>1</v>
      </c>
      <c r="AB406" s="185">
        <v>1</v>
      </c>
      <c r="AF406" s="162"/>
    </row>
    <row r="407" spans="1:32" x14ac:dyDescent="0.2">
      <c r="A407" s="34"/>
      <c r="B407" s="34"/>
      <c r="C407" s="34"/>
      <c r="D407" s="34"/>
      <c r="E407" s="34"/>
      <c r="F407" s="34"/>
      <c r="G407" s="34"/>
      <c r="H407" s="34"/>
      <c r="I407" s="33"/>
      <c r="J407" s="33"/>
    </row>
    <row r="408" spans="1:32" x14ac:dyDescent="0.2">
      <c r="A408" s="34"/>
      <c r="B408" s="34"/>
      <c r="C408" s="34"/>
      <c r="D408" s="34"/>
      <c r="E408" s="34"/>
      <c r="F408" s="34"/>
      <c r="G408" s="34"/>
      <c r="H408" s="34"/>
      <c r="I408" s="33"/>
      <c r="J408" s="33"/>
    </row>
    <row r="409" spans="1:32" x14ac:dyDescent="0.2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32" x14ac:dyDescent="0.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212" t="s">
        <v>136</v>
      </c>
      <c r="L410" s="213"/>
      <c r="M410" s="213"/>
      <c r="N410" s="213"/>
      <c r="O410" s="213"/>
      <c r="P410" s="213"/>
      <c r="Q410" s="213"/>
      <c r="R410" s="213"/>
    </row>
    <row r="411" spans="1:32" x14ac:dyDescent="0.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127"/>
      <c r="L411" s="127"/>
      <c r="M411" s="127"/>
      <c r="N411" s="163"/>
      <c r="O411" s="126"/>
      <c r="P411" s="125"/>
      <c r="Q411" s="125"/>
      <c r="R411" s="125"/>
    </row>
    <row r="412" spans="1:32" x14ac:dyDescent="0.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168" t="s">
        <v>7129</v>
      </c>
      <c r="L412" s="169"/>
      <c r="M412" s="169"/>
      <c r="N412" s="190"/>
      <c r="O412" s="169"/>
      <c r="P412" s="169"/>
      <c r="Q412" s="169"/>
      <c r="R412" s="169"/>
    </row>
    <row r="413" spans="1:32" x14ac:dyDescent="0.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168" t="s">
        <v>7130</v>
      </c>
      <c r="L413" s="169"/>
      <c r="M413" s="169"/>
      <c r="N413" s="190"/>
      <c r="O413" s="169"/>
      <c r="P413" s="169"/>
      <c r="Q413" s="169"/>
      <c r="R413" s="169"/>
    </row>
    <row r="414" spans="1:32" x14ac:dyDescent="0.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166" t="s">
        <v>7131</v>
      </c>
      <c r="L414" s="167"/>
      <c r="M414" s="167"/>
      <c r="N414" s="191"/>
      <c r="O414" s="167"/>
      <c r="P414" s="167"/>
      <c r="Q414" s="167"/>
      <c r="R414" s="167"/>
    </row>
    <row r="415" spans="1:32" x14ac:dyDescent="0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166" t="s">
        <v>7132</v>
      </c>
      <c r="L415" s="167"/>
      <c r="M415" s="167"/>
      <c r="N415" s="191"/>
      <c r="O415" s="167"/>
      <c r="P415" s="167"/>
      <c r="Q415" s="167"/>
      <c r="R415" s="167"/>
    </row>
    <row r="416" spans="1:32" x14ac:dyDescent="0.2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x14ac:dyDescent="0.2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x14ac:dyDescent="0.2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x14ac:dyDescent="0.2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x14ac:dyDescent="0.2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x14ac:dyDescent="0.2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x14ac:dyDescent="0.2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x14ac:dyDescent="0.2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x14ac:dyDescent="0.2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x14ac:dyDescent="0.2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x14ac:dyDescent="0.2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x14ac:dyDescent="0.2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x14ac:dyDescent="0.2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x14ac:dyDescent="0.2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x14ac:dyDescent="0.2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x14ac:dyDescent="0.2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5" spans="1:32" ht="15" thickBot="1" x14ac:dyDescent="0.25"/>
    <row r="436" spans="1:32" ht="36" customHeight="1" thickBot="1" x14ac:dyDescent="0.25">
      <c r="A436" s="240" t="s">
        <v>102</v>
      </c>
      <c r="B436" s="241"/>
      <c r="C436" s="241"/>
      <c r="D436" s="241"/>
      <c r="E436" s="241"/>
      <c r="F436" s="241"/>
      <c r="G436" s="242"/>
      <c r="H436" s="74"/>
      <c r="I436" s="74"/>
      <c r="J436" s="74"/>
      <c r="K436" s="74"/>
    </row>
    <row r="437" spans="1:32" ht="15.75" thickBot="1" x14ac:dyDescent="0.3">
      <c r="A437" s="28"/>
      <c r="B437" s="234" t="str">
        <f>+B73</f>
        <v>Successful</v>
      </c>
      <c r="C437" s="235"/>
      <c r="D437" s="236" t="str">
        <f>+D73</f>
        <v>Unsuccessful</v>
      </c>
      <c r="E437" s="237"/>
      <c r="F437" s="238" t="s">
        <v>16</v>
      </c>
      <c r="G437" s="239"/>
      <c r="H437" s="206">
        <f>+H399</f>
        <v>2021</v>
      </c>
      <c r="I437" s="207"/>
      <c r="J437" s="208"/>
      <c r="K437" s="206">
        <f>+K399</f>
        <v>2020</v>
      </c>
      <c r="L437" s="207"/>
      <c r="M437" s="208"/>
      <c r="N437" s="206">
        <f>+N399</f>
        <v>2019</v>
      </c>
      <c r="O437" s="207"/>
      <c r="P437" s="208"/>
      <c r="Q437" s="206">
        <f>+Q399</f>
        <v>2018</v>
      </c>
      <c r="R437" s="207"/>
      <c r="S437" s="208"/>
      <c r="T437" s="206">
        <f>+T399</f>
        <v>2017</v>
      </c>
      <c r="U437" s="207"/>
      <c r="V437" s="208"/>
      <c r="W437" s="209">
        <f>+W399</f>
        <v>2016</v>
      </c>
      <c r="X437" s="210"/>
      <c r="Y437" s="211"/>
      <c r="Z437" s="209">
        <f>+Z399</f>
        <v>2015</v>
      </c>
      <c r="AA437" s="210"/>
      <c r="AB437" s="211"/>
      <c r="AC437" s="165"/>
      <c r="AF437" s="162"/>
    </row>
    <row r="438" spans="1:32" ht="29.25" customHeight="1" thickBot="1" x14ac:dyDescent="0.25">
      <c r="A438" s="28"/>
      <c r="B438" s="29" t="s">
        <v>37</v>
      </c>
      <c r="C438" s="30" t="s">
        <v>38</v>
      </c>
      <c r="D438" s="29" t="s">
        <v>37</v>
      </c>
      <c r="E438" s="30" t="s">
        <v>38</v>
      </c>
      <c r="F438" s="29" t="s">
        <v>37</v>
      </c>
      <c r="G438" s="30" t="s">
        <v>38</v>
      </c>
      <c r="H438" s="186" t="s">
        <v>132</v>
      </c>
      <c r="I438" s="187" t="s">
        <v>133</v>
      </c>
      <c r="J438" s="44" t="s">
        <v>16</v>
      </c>
      <c r="K438" s="186" t="s">
        <v>132</v>
      </c>
      <c r="L438" s="187" t="s">
        <v>133</v>
      </c>
      <c r="M438" s="44" t="s">
        <v>16</v>
      </c>
      <c r="N438" s="186" t="s">
        <v>132</v>
      </c>
      <c r="O438" s="187" t="s">
        <v>133</v>
      </c>
      <c r="P438" s="44" t="s">
        <v>16</v>
      </c>
      <c r="Q438" s="186" t="s">
        <v>132</v>
      </c>
      <c r="R438" s="187" t="s">
        <v>133</v>
      </c>
      <c r="S438" s="44" t="s">
        <v>16</v>
      </c>
      <c r="T438" s="186" t="s">
        <v>132</v>
      </c>
      <c r="U438" s="187" t="s">
        <v>133</v>
      </c>
      <c r="V438" s="44" t="s">
        <v>16</v>
      </c>
      <c r="W438" s="186" t="s">
        <v>132</v>
      </c>
      <c r="X438" s="187" t="s">
        <v>133</v>
      </c>
      <c r="Y438" s="44" t="s">
        <v>16</v>
      </c>
      <c r="Z438" s="186" t="s">
        <v>132</v>
      </c>
      <c r="AA438" s="187" t="s">
        <v>133</v>
      </c>
      <c r="AB438" s="44" t="s">
        <v>16</v>
      </c>
    </row>
    <row r="439" spans="1:32" x14ac:dyDescent="0.2">
      <c r="A439" s="98" t="s">
        <v>134</v>
      </c>
      <c r="B439" s="31">
        <f>COUNTIFS(DATA!$T$3:$T$7183,1,DATA!$D$3:$D$7183,260)</f>
        <v>0</v>
      </c>
      <c r="C439" s="35">
        <f>IF(B443=0,0,+B439/B443)</f>
        <v>0</v>
      </c>
      <c r="D439" s="31">
        <f>COUNTIFS(DATA!$T$3:$T$7183,1,DATA!$D$3:$D$7183,280)</f>
        <v>1</v>
      </c>
      <c r="E439" s="35">
        <f>+D439/D443</f>
        <v>9.0909090909090912E-2</v>
      </c>
      <c r="F439" s="31">
        <f>+D439+B439</f>
        <v>1</v>
      </c>
      <c r="G439" s="35">
        <f>+F439/F443</f>
        <v>5.8823529411764705E-2</v>
      </c>
      <c r="H439" s="181">
        <v>0.14285714285714285</v>
      </c>
      <c r="I439" s="180">
        <v>0.22222222222222221</v>
      </c>
      <c r="J439" s="182">
        <v>0.1875</v>
      </c>
      <c r="K439" s="181">
        <v>0.4</v>
      </c>
      <c r="L439" s="180">
        <v>0.25</v>
      </c>
      <c r="M439" s="182">
        <v>0.2857142857142857</v>
      </c>
      <c r="N439" s="181">
        <v>0.75</v>
      </c>
      <c r="O439" s="180">
        <v>0.13333333333333333</v>
      </c>
      <c r="P439" s="182">
        <v>0.26315789473684209</v>
      </c>
      <c r="Q439" s="181">
        <v>0.22</v>
      </c>
      <c r="R439" s="180">
        <v>0.08</v>
      </c>
      <c r="S439" s="182">
        <v>0.14000000000000001</v>
      </c>
      <c r="T439" s="181">
        <v>0.25</v>
      </c>
      <c r="U439" s="180">
        <v>6.6666666666666666E-2</v>
      </c>
      <c r="V439" s="182">
        <v>0.14814814814814814</v>
      </c>
      <c r="W439" s="181">
        <v>0.16666666666666666</v>
      </c>
      <c r="X439" s="180">
        <v>0.17647058823529413</v>
      </c>
      <c r="Y439" s="182">
        <v>0.17391304347826086</v>
      </c>
      <c r="Z439" s="181">
        <v>0.25</v>
      </c>
      <c r="AA439" s="180">
        <v>0.13333333333333333</v>
      </c>
      <c r="AB439" s="182">
        <v>0.17391304347826086</v>
      </c>
    </row>
    <row r="440" spans="1:32" x14ac:dyDescent="0.2">
      <c r="A440" s="99" t="s">
        <v>135</v>
      </c>
      <c r="B440" s="31">
        <f>COUNTIFS(DATA!$T$3:$T$7183,2,DATA!$D$3:$D$7183,260)</f>
        <v>5</v>
      </c>
      <c r="C440" s="36">
        <f>IF(B443=0,0,+B440/B443)</f>
        <v>0.83333333333333337</v>
      </c>
      <c r="D440" s="42">
        <f>COUNTIFS(DATA!$T$3:$T$7183,2,DATA!$D$3:$D$7183,280)</f>
        <v>10</v>
      </c>
      <c r="E440" s="36">
        <f>+D440/D443</f>
        <v>0.90909090909090906</v>
      </c>
      <c r="F440" s="42">
        <f t="shared" ref="F440:F442" si="90">+D440+B440</f>
        <v>15</v>
      </c>
      <c r="G440" s="36">
        <f>+F440/F443</f>
        <v>0.88235294117647056</v>
      </c>
      <c r="H440" s="181">
        <v>0.7142857142857143</v>
      </c>
      <c r="I440" s="180">
        <v>0.66666666666666663</v>
      </c>
      <c r="J440" s="182">
        <v>0.6875</v>
      </c>
      <c r="K440" s="181">
        <v>0.4</v>
      </c>
      <c r="L440" s="180">
        <v>0.625</v>
      </c>
      <c r="M440" s="182">
        <v>0.5714285714285714</v>
      </c>
      <c r="N440" s="181">
        <v>0.25</v>
      </c>
      <c r="O440" s="180">
        <v>0.53333333333333333</v>
      </c>
      <c r="P440" s="182">
        <v>0.47368421052631576</v>
      </c>
      <c r="Q440" s="181">
        <v>0.56000000000000005</v>
      </c>
      <c r="R440" s="180">
        <v>0.77</v>
      </c>
      <c r="S440" s="182">
        <v>0.68</v>
      </c>
      <c r="T440" s="181">
        <v>0.75</v>
      </c>
      <c r="U440" s="180">
        <v>0.8666666666666667</v>
      </c>
      <c r="V440" s="182">
        <v>0.81481481481481477</v>
      </c>
      <c r="W440" s="181">
        <v>0.66666666666666663</v>
      </c>
      <c r="X440" s="180">
        <v>0.76470588235294112</v>
      </c>
      <c r="Y440" s="182">
        <v>0.73913043478260865</v>
      </c>
      <c r="Z440" s="181">
        <v>0.625</v>
      </c>
      <c r="AA440" s="180">
        <v>0.8</v>
      </c>
      <c r="AB440" s="182">
        <v>0.73913043478260865</v>
      </c>
    </row>
    <row r="441" spans="1:32" x14ac:dyDescent="0.2">
      <c r="A441" s="92" t="s">
        <v>94</v>
      </c>
      <c r="B441" s="31">
        <f>COUNTIFS(DATA!$T$3:$T$7183,"3",DATA!$D$3:$D$7183,260)</f>
        <v>1</v>
      </c>
      <c r="C441" s="36">
        <f>IF(B443=0,0,+B441/B443)</f>
        <v>0.16666666666666666</v>
      </c>
      <c r="D441" s="42">
        <f>COUNTIFS(DATA!$T$3:$T$7183,"3",DATA!$D$3:$D$7183,280)</f>
        <v>0</v>
      </c>
      <c r="E441" s="36">
        <f>+D441/D443</f>
        <v>0</v>
      </c>
      <c r="F441" s="42">
        <f t="shared" si="90"/>
        <v>1</v>
      </c>
      <c r="G441" s="36">
        <f>+F441/F443</f>
        <v>5.8823529411764705E-2</v>
      </c>
      <c r="H441" s="181">
        <v>0.14285714285714285</v>
      </c>
      <c r="I441" s="180">
        <v>0.1111111111111111</v>
      </c>
      <c r="J441" s="182">
        <v>0.125</v>
      </c>
      <c r="K441" s="181">
        <v>0.2</v>
      </c>
      <c r="L441" s="180">
        <v>0.125</v>
      </c>
      <c r="M441" s="182">
        <v>0.14285714285714285</v>
      </c>
      <c r="N441" s="181">
        <v>0</v>
      </c>
      <c r="O441" s="180">
        <v>0.26666666666666666</v>
      </c>
      <c r="P441" s="182">
        <v>0.21052631578947367</v>
      </c>
      <c r="Q441" s="181">
        <v>0.22</v>
      </c>
      <c r="R441" s="180">
        <v>0.08</v>
      </c>
      <c r="S441" s="182">
        <v>0.14000000000000001</v>
      </c>
      <c r="T441" s="181">
        <v>0</v>
      </c>
      <c r="U441" s="180">
        <v>6.6666666666666666E-2</v>
      </c>
      <c r="V441" s="182">
        <v>3.7037037037037035E-2</v>
      </c>
      <c r="W441" s="181">
        <v>0.16666666666666666</v>
      </c>
      <c r="X441" s="180">
        <v>5.8823529411764705E-2</v>
      </c>
      <c r="Y441" s="182">
        <v>8.6956521739130432E-2</v>
      </c>
      <c r="Z441" s="181">
        <v>0.125</v>
      </c>
      <c r="AA441" s="180">
        <v>6.6666666666666666E-2</v>
      </c>
      <c r="AB441" s="182">
        <v>8.6956521739130432E-2</v>
      </c>
      <c r="AC441" s="74"/>
      <c r="AF441" s="162"/>
    </row>
    <row r="442" spans="1:32" s="41" customFormat="1" ht="15" thickBot="1" x14ac:dyDescent="0.25">
      <c r="A442" s="93" t="s">
        <v>39</v>
      </c>
      <c r="B442" s="31">
        <f>COUNTIFS(DATA!$T$3:$T$7183,"4",DATA!$D$3:$D$7183,260)</f>
        <v>0</v>
      </c>
      <c r="C442" s="36">
        <f>IF(B443=0,0,+B442/B443)</f>
        <v>0</v>
      </c>
      <c r="D442" s="42">
        <f>COUNTIFS(DATA!$T$3:$T$7183,"4",DATA!$D$3:$D$7183,280)</f>
        <v>0</v>
      </c>
      <c r="E442" s="36">
        <f>+D442/D443</f>
        <v>0</v>
      </c>
      <c r="F442" s="42">
        <f t="shared" si="90"/>
        <v>0</v>
      </c>
      <c r="G442" s="36">
        <f>+F442/F443</f>
        <v>0</v>
      </c>
      <c r="H442" s="181">
        <v>0</v>
      </c>
      <c r="I442" s="180">
        <v>0</v>
      </c>
      <c r="J442" s="182">
        <v>0</v>
      </c>
      <c r="K442" s="181">
        <v>0</v>
      </c>
      <c r="L442" s="180">
        <v>0</v>
      </c>
      <c r="M442" s="182">
        <v>0</v>
      </c>
      <c r="N442" s="181">
        <v>0</v>
      </c>
      <c r="O442" s="180">
        <v>6.6666666666666666E-2</v>
      </c>
      <c r="P442" s="182">
        <v>5.2631578947368418E-2</v>
      </c>
      <c r="Q442" s="181">
        <v>0</v>
      </c>
      <c r="R442" s="180">
        <v>0.08</v>
      </c>
      <c r="S442" s="182">
        <v>0.05</v>
      </c>
      <c r="T442" s="181">
        <v>0</v>
      </c>
      <c r="U442" s="180">
        <v>0</v>
      </c>
      <c r="V442" s="182">
        <v>0</v>
      </c>
      <c r="W442" s="181">
        <v>0</v>
      </c>
      <c r="X442" s="180">
        <v>0</v>
      </c>
      <c r="Y442" s="182">
        <v>0</v>
      </c>
      <c r="Z442" s="181">
        <v>0</v>
      </c>
      <c r="AA442" s="180">
        <v>0</v>
      </c>
      <c r="AB442" s="182">
        <v>0</v>
      </c>
      <c r="AC442" s="74"/>
      <c r="AF442" s="162"/>
    </row>
    <row r="443" spans="1:32" ht="15.75" thickBot="1" x14ac:dyDescent="0.3">
      <c r="A443" s="111" t="s">
        <v>16</v>
      </c>
      <c r="B443" s="101">
        <f>SUM(B439:B442)</f>
        <v>6</v>
      </c>
      <c r="C443" s="114">
        <f>IF(B443=0,0,+B443/B443)</f>
        <v>1</v>
      </c>
      <c r="D443" s="101">
        <f>SUM(D439:D442)</f>
        <v>11</v>
      </c>
      <c r="E443" s="114">
        <f>+D443/D443</f>
        <v>1</v>
      </c>
      <c r="F443" s="101">
        <f>SUM(F439:F442)</f>
        <v>17</v>
      </c>
      <c r="G443" s="114">
        <f>+F443/F443</f>
        <v>1</v>
      </c>
      <c r="H443" s="183">
        <v>1</v>
      </c>
      <c r="I443" s="184">
        <v>1</v>
      </c>
      <c r="J443" s="185">
        <v>1</v>
      </c>
      <c r="K443" s="183">
        <v>1</v>
      </c>
      <c r="L443" s="184">
        <v>1</v>
      </c>
      <c r="M443" s="185">
        <v>1</v>
      </c>
      <c r="N443" s="183">
        <v>1</v>
      </c>
      <c r="O443" s="184">
        <v>1</v>
      </c>
      <c r="P443" s="185">
        <v>1</v>
      </c>
      <c r="Q443" s="183">
        <v>1</v>
      </c>
      <c r="R443" s="184">
        <v>1</v>
      </c>
      <c r="S443" s="185">
        <v>1</v>
      </c>
      <c r="T443" s="183">
        <v>1</v>
      </c>
      <c r="U443" s="184">
        <v>1</v>
      </c>
      <c r="V443" s="185">
        <v>1</v>
      </c>
      <c r="W443" s="183">
        <v>1</v>
      </c>
      <c r="X443" s="184">
        <v>1</v>
      </c>
      <c r="Y443" s="185">
        <v>1</v>
      </c>
      <c r="Z443" s="183">
        <v>1</v>
      </c>
      <c r="AA443" s="184">
        <v>1</v>
      </c>
      <c r="AB443" s="185">
        <v>1</v>
      </c>
      <c r="AF443" s="162"/>
    </row>
    <row r="444" spans="1:32" x14ac:dyDescent="0.2">
      <c r="A444" s="33"/>
      <c r="B444" s="33"/>
      <c r="C444" s="33"/>
      <c r="D444" s="33"/>
      <c r="E444" s="33"/>
      <c r="F444" s="33"/>
      <c r="G444" s="33"/>
      <c r="H444" s="33"/>
      <c r="I444" s="33"/>
      <c r="J444" s="33"/>
    </row>
    <row r="445" spans="1:32" x14ac:dyDescent="0.2">
      <c r="A445" s="33"/>
      <c r="B445" s="33"/>
      <c r="C445" s="33"/>
      <c r="D445" s="33"/>
      <c r="E445" s="33"/>
      <c r="F445" s="33"/>
      <c r="G445" s="33"/>
      <c r="H445" s="33"/>
      <c r="I445" s="33"/>
      <c r="J445" s="33"/>
    </row>
    <row r="446" spans="1:32" x14ac:dyDescent="0.2">
      <c r="A446" s="33"/>
      <c r="B446" s="33"/>
      <c r="C446" s="33"/>
      <c r="D446" s="33"/>
      <c r="E446" s="33"/>
      <c r="F446" s="33"/>
      <c r="G446" s="33"/>
      <c r="H446" s="33"/>
      <c r="I446" s="33"/>
      <c r="J446" s="33"/>
    </row>
    <row r="447" spans="1:32" x14ac:dyDescent="0.2">
      <c r="A447" s="33"/>
      <c r="B447" s="33"/>
      <c r="C447" s="33"/>
      <c r="D447" s="33"/>
      <c r="E447" s="33"/>
      <c r="F447" s="33"/>
      <c r="G447" s="33"/>
      <c r="H447" s="33"/>
      <c r="I447" s="33"/>
      <c r="J447" s="33"/>
    </row>
    <row r="448" spans="1:32" ht="14.25" customHeight="1" x14ac:dyDescent="0.2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213" t="s">
        <v>180</v>
      </c>
      <c r="L448" s="213"/>
      <c r="M448" s="213"/>
      <c r="N448" s="213"/>
      <c r="O448" s="213"/>
      <c r="P448" s="213"/>
      <c r="Q448" s="213"/>
      <c r="R448" s="213"/>
    </row>
    <row r="449" spans="1:18" x14ac:dyDescent="0.2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213"/>
      <c r="L449" s="213"/>
      <c r="M449" s="213"/>
      <c r="N449" s="213"/>
      <c r="O449" s="213"/>
      <c r="P449" s="213"/>
      <c r="Q449" s="213"/>
      <c r="R449" s="213"/>
    </row>
    <row r="450" spans="1:18" x14ac:dyDescent="0.2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168" t="s">
        <v>7133</v>
      </c>
      <c r="L450" s="169"/>
      <c r="M450" s="169"/>
      <c r="N450" s="190"/>
      <c r="O450" s="169"/>
      <c r="P450" s="169"/>
      <c r="Q450" s="169"/>
      <c r="R450" s="169"/>
    </row>
    <row r="451" spans="1:18" x14ac:dyDescent="0.2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166" t="s">
        <v>7134</v>
      </c>
      <c r="L451" s="167"/>
      <c r="M451" s="167"/>
      <c r="N451" s="191"/>
      <c r="O451" s="167"/>
      <c r="P451" s="167"/>
      <c r="Q451" s="167"/>
      <c r="R451" s="167"/>
    </row>
    <row r="452" spans="1:18" x14ac:dyDescent="0.2">
      <c r="A452" s="33"/>
      <c r="B452" s="33"/>
      <c r="C452" s="33"/>
      <c r="D452" s="33"/>
      <c r="E452" s="33"/>
      <c r="F452" s="33"/>
      <c r="G452" s="33"/>
      <c r="H452" s="33"/>
      <c r="I452" s="33"/>
      <c r="J452" s="33"/>
    </row>
    <row r="453" spans="1:18" x14ac:dyDescent="0.2">
      <c r="A453" s="33"/>
      <c r="B453" s="33"/>
      <c r="C453" s="33"/>
      <c r="D453" s="33"/>
      <c r="E453" s="33"/>
      <c r="F453" s="33"/>
      <c r="G453" s="33"/>
      <c r="H453" s="33"/>
      <c r="I453" s="33"/>
      <c r="J453" s="33"/>
    </row>
    <row r="454" spans="1:18" x14ac:dyDescent="0.2">
      <c r="A454" s="33"/>
      <c r="B454" s="33"/>
      <c r="C454" s="33"/>
      <c r="D454" s="33"/>
      <c r="E454" s="33"/>
      <c r="F454" s="33"/>
      <c r="G454" s="33"/>
      <c r="H454" s="33"/>
      <c r="I454" s="33"/>
      <c r="J454" s="33"/>
    </row>
    <row r="455" spans="1:18" x14ac:dyDescent="0.2">
      <c r="A455" s="33"/>
      <c r="B455" s="33"/>
      <c r="C455" s="33"/>
      <c r="D455" s="33"/>
      <c r="E455" s="33"/>
      <c r="F455" s="33"/>
      <c r="G455" s="33"/>
      <c r="H455" s="33"/>
      <c r="I455" s="33"/>
      <c r="J455" s="33"/>
    </row>
    <row r="456" spans="1:18" x14ac:dyDescent="0.2">
      <c r="A456" s="33"/>
      <c r="B456" s="33"/>
      <c r="C456" s="33"/>
      <c r="D456" s="33"/>
      <c r="E456" s="33"/>
      <c r="F456" s="33"/>
      <c r="G456" s="33"/>
      <c r="H456" s="33"/>
      <c r="I456" s="33"/>
      <c r="J456" s="33"/>
    </row>
    <row r="457" spans="1:18" x14ac:dyDescent="0.2">
      <c r="A457" s="33"/>
      <c r="B457" s="33"/>
      <c r="C457" s="33"/>
      <c r="D457" s="33"/>
      <c r="E457" s="33"/>
      <c r="F457" s="33"/>
      <c r="G457" s="33"/>
      <c r="H457" s="33"/>
      <c r="I457" s="33"/>
      <c r="J457" s="33"/>
    </row>
    <row r="458" spans="1:18" x14ac:dyDescent="0.2">
      <c r="A458" s="33"/>
      <c r="B458" s="33"/>
      <c r="C458" s="33"/>
      <c r="D458" s="33"/>
      <c r="E458" s="33"/>
      <c r="F458" s="33"/>
      <c r="G458" s="33"/>
      <c r="H458" s="33"/>
      <c r="I458" s="33"/>
      <c r="J458" s="33"/>
    </row>
    <row r="459" spans="1:18" x14ac:dyDescent="0.2">
      <c r="A459" s="33"/>
      <c r="B459" s="33"/>
      <c r="C459" s="33"/>
      <c r="D459" s="33"/>
      <c r="E459" s="33"/>
      <c r="F459" s="33"/>
      <c r="G459" s="33"/>
      <c r="H459" s="33"/>
      <c r="I459" s="33"/>
      <c r="J459" s="33"/>
    </row>
    <row r="460" spans="1:18" x14ac:dyDescent="0.2">
      <c r="A460" s="33"/>
      <c r="B460" s="33"/>
      <c r="C460" s="33"/>
      <c r="D460" s="33"/>
      <c r="E460" s="33"/>
      <c r="F460" s="33"/>
      <c r="G460" s="33"/>
      <c r="H460" s="33"/>
      <c r="I460" s="33"/>
      <c r="J460" s="33"/>
    </row>
    <row r="461" spans="1:18" x14ac:dyDescent="0.2">
      <c r="A461" s="33"/>
      <c r="B461" s="33"/>
      <c r="C461" s="33"/>
      <c r="D461" s="33"/>
      <c r="E461" s="33"/>
      <c r="F461" s="33"/>
      <c r="G461" s="33"/>
      <c r="H461" s="33"/>
      <c r="I461" s="33"/>
      <c r="J461" s="33"/>
    </row>
    <row r="462" spans="1:18" x14ac:dyDescent="0.2">
      <c r="A462" s="33"/>
      <c r="B462" s="33"/>
      <c r="C462" s="33"/>
      <c r="D462" s="33"/>
      <c r="E462" s="33"/>
      <c r="F462" s="33"/>
      <c r="G462" s="33"/>
      <c r="H462" s="33"/>
      <c r="I462" s="33"/>
      <c r="J462" s="33"/>
    </row>
    <row r="463" spans="1:18" x14ac:dyDescent="0.2">
      <c r="A463" s="33"/>
      <c r="B463" s="33"/>
      <c r="C463" s="33"/>
      <c r="D463" s="33"/>
      <c r="E463" s="33"/>
      <c r="F463" s="33"/>
      <c r="G463" s="33"/>
      <c r="H463" s="33"/>
      <c r="I463" s="33"/>
      <c r="J463" s="33"/>
    </row>
    <row r="464" spans="1:18" x14ac:dyDescent="0.2">
      <c r="A464" s="33"/>
      <c r="B464" s="33"/>
      <c r="C464" s="33"/>
      <c r="D464" s="33"/>
      <c r="E464" s="33"/>
      <c r="F464" s="33"/>
      <c r="G464" s="33"/>
      <c r="H464" s="33"/>
      <c r="I464" s="33"/>
      <c r="J464" s="33"/>
    </row>
    <row r="465" spans="1:32" x14ac:dyDescent="0.2">
      <c r="A465" s="33"/>
      <c r="B465" s="33"/>
      <c r="C465" s="33"/>
      <c r="D465" s="33"/>
      <c r="E465" s="33"/>
      <c r="F465" s="33"/>
      <c r="G465" s="33"/>
      <c r="H465" s="33"/>
      <c r="I465" s="33"/>
      <c r="J465" s="33"/>
    </row>
    <row r="466" spans="1:32" x14ac:dyDescent="0.2">
      <c r="A466" s="33"/>
      <c r="B466" s="33"/>
      <c r="C466" s="33"/>
      <c r="D466" s="33"/>
      <c r="E466" s="33"/>
      <c r="F466" s="33"/>
      <c r="G466" s="33"/>
      <c r="H466" s="33"/>
      <c r="I466" s="33"/>
      <c r="J466" s="33"/>
    </row>
    <row r="467" spans="1:32" x14ac:dyDescent="0.2">
      <c r="A467" s="33"/>
      <c r="B467" s="33"/>
      <c r="C467" s="33"/>
      <c r="D467" s="33"/>
      <c r="E467" s="33"/>
      <c r="F467" s="33"/>
      <c r="G467" s="33"/>
      <c r="H467" s="33"/>
      <c r="I467" s="33"/>
      <c r="J467" s="33"/>
    </row>
    <row r="468" spans="1:32" x14ac:dyDescent="0.2">
      <c r="A468" s="33"/>
      <c r="B468" s="33"/>
      <c r="C468" s="33"/>
      <c r="D468" s="33"/>
      <c r="E468" s="33"/>
      <c r="F468" s="33"/>
      <c r="G468" s="33"/>
      <c r="H468" s="33"/>
      <c r="I468" s="33"/>
      <c r="J468" s="33"/>
    </row>
    <row r="469" spans="1:32" x14ac:dyDescent="0.2">
      <c r="A469" s="33"/>
      <c r="B469" s="33"/>
      <c r="C469" s="33"/>
      <c r="D469" s="33"/>
      <c r="E469" s="33"/>
      <c r="F469" s="33"/>
      <c r="G469" s="33"/>
      <c r="H469" s="33"/>
      <c r="I469" s="33"/>
      <c r="J469" s="33"/>
    </row>
    <row r="470" spans="1:32" ht="15" thickBot="1" x14ac:dyDescent="0.25">
      <c r="A470" s="33"/>
      <c r="B470" s="33"/>
      <c r="C470" s="33"/>
      <c r="D470" s="33"/>
      <c r="E470" s="33"/>
      <c r="F470" s="33"/>
      <c r="G470" s="33"/>
      <c r="H470" s="33"/>
      <c r="I470" s="33"/>
      <c r="J470" s="33"/>
    </row>
    <row r="471" spans="1:32" s="88" customFormat="1" ht="18.75" customHeight="1" thickBot="1" x14ac:dyDescent="0.25">
      <c r="A471" s="240" t="s">
        <v>103</v>
      </c>
      <c r="B471" s="241"/>
      <c r="C471" s="241"/>
      <c r="D471" s="241"/>
      <c r="E471" s="241"/>
      <c r="F471" s="241"/>
      <c r="G471" s="242"/>
      <c r="H471" s="74"/>
      <c r="I471" s="74"/>
      <c r="J471" s="74"/>
      <c r="K471" s="74"/>
      <c r="N471" s="128"/>
    </row>
    <row r="472" spans="1:32" s="88" customFormat="1" ht="15.75" customHeight="1" thickBot="1" x14ac:dyDescent="0.3">
      <c r="A472" s="28"/>
      <c r="B472" s="234" t="str">
        <f>+B73</f>
        <v>Successful</v>
      </c>
      <c r="C472" s="235"/>
      <c r="D472" s="236" t="str">
        <f>+D73</f>
        <v>Unsuccessful</v>
      </c>
      <c r="E472" s="237"/>
      <c r="F472" s="238" t="s">
        <v>16</v>
      </c>
      <c r="G472" s="239"/>
      <c r="H472" s="206">
        <f>+H437</f>
        <v>2021</v>
      </c>
      <c r="I472" s="207"/>
      <c r="J472" s="208"/>
      <c r="K472" s="206">
        <f>+K437</f>
        <v>2020</v>
      </c>
      <c r="L472" s="207"/>
      <c r="M472" s="208"/>
      <c r="N472" s="206">
        <f>+N437</f>
        <v>2019</v>
      </c>
      <c r="O472" s="207"/>
      <c r="P472" s="208"/>
      <c r="Q472" s="206">
        <f>+Q437</f>
        <v>2018</v>
      </c>
      <c r="R472" s="207"/>
      <c r="S472" s="208"/>
      <c r="T472" s="206">
        <f>+T437</f>
        <v>2017</v>
      </c>
      <c r="U472" s="207"/>
      <c r="V472" s="208"/>
      <c r="W472" s="209">
        <f>+W437</f>
        <v>2016</v>
      </c>
      <c r="X472" s="210"/>
      <c r="Y472" s="211"/>
      <c r="Z472" s="209">
        <f>+Z437</f>
        <v>2015</v>
      </c>
      <c r="AA472" s="210"/>
      <c r="AB472" s="211"/>
      <c r="AC472" s="165"/>
      <c r="AD472" s="90"/>
      <c r="AF472" s="128"/>
    </row>
    <row r="473" spans="1:32" s="88" customFormat="1" ht="29.25" customHeight="1" thickBot="1" x14ac:dyDescent="0.25">
      <c r="A473" s="28"/>
      <c r="B473" s="29" t="s">
        <v>37</v>
      </c>
      <c r="C473" s="30" t="s">
        <v>38</v>
      </c>
      <c r="D473" s="29" t="s">
        <v>37</v>
      </c>
      <c r="E473" s="30" t="s">
        <v>38</v>
      </c>
      <c r="F473" s="29" t="s">
        <v>37</v>
      </c>
      <c r="G473" s="30" t="s">
        <v>38</v>
      </c>
      <c r="H473" s="186" t="s">
        <v>132</v>
      </c>
      <c r="I473" s="187" t="s">
        <v>133</v>
      </c>
      <c r="J473" s="44" t="s">
        <v>16</v>
      </c>
      <c r="K473" s="186" t="s">
        <v>132</v>
      </c>
      <c r="L473" s="187" t="s">
        <v>133</v>
      </c>
      <c r="M473" s="44" t="s">
        <v>16</v>
      </c>
      <c r="N473" s="186" t="s">
        <v>132</v>
      </c>
      <c r="O473" s="187" t="s">
        <v>133</v>
      </c>
      <c r="P473" s="44" t="s">
        <v>16</v>
      </c>
      <c r="Q473" s="186" t="s">
        <v>132</v>
      </c>
      <c r="R473" s="187" t="s">
        <v>133</v>
      </c>
      <c r="S473" s="44" t="s">
        <v>16</v>
      </c>
      <c r="T473" s="186" t="s">
        <v>132</v>
      </c>
      <c r="U473" s="187" t="s">
        <v>133</v>
      </c>
      <c r="V473" s="44" t="s">
        <v>16</v>
      </c>
      <c r="W473" s="186" t="s">
        <v>132</v>
      </c>
      <c r="X473" s="187" t="s">
        <v>133</v>
      </c>
      <c r="Y473" s="44" t="s">
        <v>16</v>
      </c>
      <c r="Z473" s="186" t="s">
        <v>132</v>
      </c>
      <c r="AA473" s="187" t="s">
        <v>133</v>
      </c>
      <c r="AB473" s="44" t="s">
        <v>16</v>
      </c>
    </row>
    <row r="474" spans="1:32" s="88" customFormat="1" x14ac:dyDescent="0.2">
      <c r="A474" s="98" t="s">
        <v>134</v>
      </c>
      <c r="B474" s="31">
        <f>COUNTIFS(DATA!$U$3:$U$7183,1,DATA!$D$3:$D$7183,260)</f>
        <v>0</v>
      </c>
      <c r="C474" s="35">
        <f>IF(B478=0,0,+B474/B478)</f>
        <v>0</v>
      </c>
      <c r="D474" s="31">
        <f>COUNTIFS(DATA!$U$3:$U$7183,1,DATA!$D$3:$D$7183,280)</f>
        <v>0</v>
      </c>
      <c r="E474" s="35">
        <f>+D474/D478</f>
        <v>0</v>
      </c>
      <c r="F474" s="31">
        <f>+D474+B474</f>
        <v>0</v>
      </c>
      <c r="G474" s="35">
        <f>+F474/F478</f>
        <v>0</v>
      </c>
      <c r="H474" s="181">
        <v>0.2857142857142857</v>
      </c>
      <c r="I474" s="180">
        <v>0</v>
      </c>
      <c r="J474" s="182">
        <v>0.125</v>
      </c>
      <c r="K474" s="181">
        <v>0.4</v>
      </c>
      <c r="L474" s="180">
        <v>0</v>
      </c>
      <c r="M474" s="182">
        <v>9.5238095238095233E-2</v>
      </c>
      <c r="N474" s="181">
        <v>0</v>
      </c>
      <c r="O474" s="180">
        <v>0</v>
      </c>
      <c r="P474" s="182">
        <v>0</v>
      </c>
      <c r="Q474" s="181">
        <v>0.11</v>
      </c>
      <c r="R474" s="180">
        <v>0</v>
      </c>
      <c r="S474" s="182">
        <v>0.05</v>
      </c>
      <c r="T474" s="181">
        <v>8.3333333333333329E-2</v>
      </c>
      <c r="U474" s="180">
        <v>6.6666666666666666E-2</v>
      </c>
      <c r="V474" s="182">
        <v>7.407407407407407E-2</v>
      </c>
      <c r="W474" s="181">
        <v>0</v>
      </c>
      <c r="X474" s="180">
        <v>0.125</v>
      </c>
      <c r="Y474" s="182">
        <v>9.0909090909090912E-2</v>
      </c>
      <c r="Z474" s="181">
        <v>0</v>
      </c>
      <c r="AA474" s="180">
        <v>6.6666666666666666E-2</v>
      </c>
      <c r="AB474" s="182">
        <v>4.3478260869565216E-2</v>
      </c>
    </row>
    <row r="475" spans="1:32" s="88" customFormat="1" ht="14.25" customHeight="1" x14ac:dyDescent="0.2">
      <c r="A475" s="99" t="s">
        <v>135</v>
      </c>
      <c r="B475" s="31">
        <f>COUNTIFS(DATA!$U$3:$U$7183,2,DATA!$D$3:$D$7183,260)</f>
        <v>5</v>
      </c>
      <c r="C475" s="35">
        <f>IF(B478=0,0,+B475/B478)</f>
        <v>0.83333333333333337</v>
      </c>
      <c r="D475" s="42">
        <f>COUNTIFS(DATA!$U$3:$U$7183,2,DATA!$D$3:$D$7183,280)</f>
        <v>10</v>
      </c>
      <c r="E475" s="35">
        <f>+D475/D478</f>
        <v>0.90909090909090906</v>
      </c>
      <c r="F475" s="42">
        <f t="shared" ref="F475:F477" si="91">+D475+B475</f>
        <v>15</v>
      </c>
      <c r="G475" s="35">
        <f>+F475/F478</f>
        <v>0.88235294117647056</v>
      </c>
      <c r="H475" s="181">
        <v>0.5714285714285714</v>
      </c>
      <c r="I475" s="180">
        <v>0.88888888888888884</v>
      </c>
      <c r="J475" s="182">
        <v>0.75</v>
      </c>
      <c r="K475" s="181">
        <v>0.6</v>
      </c>
      <c r="L475" s="180">
        <v>0.9375</v>
      </c>
      <c r="M475" s="182">
        <v>0.8571428571428571</v>
      </c>
      <c r="N475" s="181">
        <v>1</v>
      </c>
      <c r="O475" s="180">
        <v>0.66666666666666663</v>
      </c>
      <c r="P475" s="182">
        <v>0.73684210526315785</v>
      </c>
      <c r="Q475" s="181">
        <v>0.89</v>
      </c>
      <c r="R475" s="180">
        <v>0.69</v>
      </c>
      <c r="S475" s="182">
        <v>0.77</v>
      </c>
      <c r="T475" s="181">
        <v>0.91666666666666663</v>
      </c>
      <c r="U475" s="180">
        <v>0.8666666666666667</v>
      </c>
      <c r="V475" s="182">
        <v>0.88888888888888884</v>
      </c>
      <c r="W475" s="181">
        <v>0.66666666666666663</v>
      </c>
      <c r="X475" s="180">
        <v>0.8125</v>
      </c>
      <c r="Y475" s="182">
        <v>0.77272727272727271</v>
      </c>
      <c r="Z475" s="181">
        <v>0.75</v>
      </c>
      <c r="AA475" s="180">
        <v>0.93333333333333335</v>
      </c>
      <c r="AB475" s="182">
        <v>0.86956521739130432</v>
      </c>
    </row>
    <row r="476" spans="1:32" s="88" customFormat="1" ht="14.25" customHeight="1" x14ac:dyDescent="0.2">
      <c r="A476" s="92" t="s">
        <v>94</v>
      </c>
      <c r="B476" s="31">
        <f>COUNTIFS(DATA!$U$3:$U$7183,"3",DATA!$D$3:$D$7183,260)</f>
        <v>1</v>
      </c>
      <c r="C476" s="35">
        <f>IF(B478=0,0,+B476/B478)</f>
        <v>0.16666666666666666</v>
      </c>
      <c r="D476" s="42">
        <f>COUNTIFS(DATA!$U$3:$U$7183,"3",DATA!$D$3:$D$7183,280)</f>
        <v>1</v>
      </c>
      <c r="E476" s="35">
        <f>+D476/D478</f>
        <v>9.0909090909090912E-2</v>
      </c>
      <c r="F476" s="42">
        <f t="shared" si="91"/>
        <v>2</v>
      </c>
      <c r="G476" s="35">
        <f>+F476/F478</f>
        <v>0.11764705882352941</v>
      </c>
      <c r="H476" s="181">
        <v>0.14285714285714285</v>
      </c>
      <c r="I476" s="180">
        <v>0.1111111111111111</v>
      </c>
      <c r="J476" s="182">
        <v>0.125</v>
      </c>
      <c r="K476" s="181">
        <v>0</v>
      </c>
      <c r="L476" s="180">
        <v>6.25E-2</v>
      </c>
      <c r="M476" s="182">
        <v>4.7619047619047616E-2</v>
      </c>
      <c r="N476" s="181">
        <v>0</v>
      </c>
      <c r="O476" s="180">
        <v>0.26666666666666666</v>
      </c>
      <c r="P476" s="182">
        <v>0.21052631578947367</v>
      </c>
      <c r="Q476" s="181">
        <v>0</v>
      </c>
      <c r="R476" s="180">
        <v>0.23</v>
      </c>
      <c r="S476" s="182">
        <v>0.14000000000000001</v>
      </c>
      <c r="T476" s="181">
        <v>0</v>
      </c>
      <c r="U476" s="180">
        <v>6.6666666666666666E-2</v>
      </c>
      <c r="V476" s="182">
        <v>3.7037037037037035E-2</v>
      </c>
      <c r="W476" s="181">
        <v>0.33333333333333331</v>
      </c>
      <c r="X476" s="180">
        <v>6.25E-2</v>
      </c>
      <c r="Y476" s="182">
        <v>0.13636363636363635</v>
      </c>
      <c r="Z476" s="181">
        <v>0.25</v>
      </c>
      <c r="AA476" s="180">
        <v>0</v>
      </c>
      <c r="AB476" s="182">
        <v>8.6956521739130432E-2</v>
      </c>
    </row>
    <row r="477" spans="1:32" s="88" customFormat="1" ht="15" thickBot="1" x14ac:dyDescent="0.25">
      <c r="A477" s="93" t="s">
        <v>39</v>
      </c>
      <c r="B477" s="31">
        <f>COUNTIFS(DATA!$U$3:$U$7183,"4",DATA!$D$3:$D$7183,260)</f>
        <v>0</v>
      </c>
      <c r="C477" s="35">
        <f>IF(B478=0,0,+B477/B478)</f>
        <v>0</v>
      </c>
      <c r="D477" s="42">
        <f>COUNTIFS(DATA!$U$3:$U$7183,"4",DATA!$D$3:$D$7183,280)</f>
        <v>0</v>
      </c>
      <c r="E477" s="35">
        <f>+D477/D478</f>
        <v>0</v>
      </c>
      <c r="F477" s="42">
        <f t="shared" si="91"/>
        <v>0</v>
      </c>
      <c r="G477" s="35">
        <f>+F477/F478</f>
        <v>0</v>
      </c>
      <c r="H477" s="181">
        <v>0</v>
      </c>
      <c r="I477" s="180">
        <v>0</v>
      </c>
      <c r="J477" s="182">
        <v>0</v>
      </c>
      <c r="K477" s="181">
        <v>0</v>
      </c>
      <c r="L477" s="180">
        <v>0</v>
      </c>
      <c r="M477" s="182">
        <v>0</v>
      </c>
      <c r="N477" s="181">
        <v>0</v>
      </c>
      <c r="O477" s="180">
        <v>6.6666666666666666E-2</v>
      </c>
      <c r="P477" s="182">
        <v>5.2631578947368418E-2</v>
      </c>
      <c r="Q477" s="181">
        <v>0</v>
      </c>
      <c r="R477" s="180">
        <v>0.08</v>
      </c>
      <c r="S477" s="182">
        <v>0.05</v>
      </c>
      <c r="T477" s="181">
        <v>0</v>
      </c>
      <c r="U477" s="180">
        <v>0</v>
      </c>
      <c r="V477" s="182">
        <v>0</v>
      </c>
      <c r="W477" s="181">
        <v>0</v>
      </c>
      <c r="X477" s="180">
        <v>0</v>
      </c>
      <c r="Y477" s="182">
        <v>0</v>
      </c>
      <c r="Z477" s="181">
        <v>0</v>
      </c>
      <c r="AA477" s="180">
        <v>0</v>
      </c>
      <c r="AB477" s="182">
        <v>0</v>
      </c>
      <c r="AC477" s="74"/>
      <c r="AD477" s="89"/>
      <c r="AF477" s="128"/>
    </row>
    <row r="478" spans="1:32" s="88" customFormat="1" ht="15.75" thickBot="1" x14ac:dyDescent="0.3">
      <c r="A478" s="111" t="s">
        <v>16</v>
      </c>
      <c r="B478" s="101">
        <f>SUM(B474:B477)</f>
        <v>6</v>
      </c>
      <c r="C478" s="114">
        <f>IF(B478=0,0,+B478/B478)</f>
        <v>1</v>
      </c>
      <c r="D478" s="101">
        <f>SUM(D474:D477)</f>
        <v>11</v>
      </c>
      <c r="E478" s="114">
        <f>+D478/D478</f>
        <v>1</v>
      </c>
      <c r="F478" s="101">
        <f>SUM(F474:F477)</f>
        <v>17</v>
      </c>
      <c r="G478" s="114">
        <f>+F478/F478</f>
        <v>1</v>
      </c>
      <c r="H478" s="183">
        <v>1</v>
      </c>
      <c r="I478" s="184">
        <v>1</v>
      </c>
      <c r="J478" s="185">
        <v>1</v>
      </c>
      <c r="K478" s="183">
        <v>1</v>
      </c>
      <c r="L478" s="184">
        <v>1</v>
      </c>
      <c r="M478" s="185">
        <v>1</v>
      </c>
      <c r="N478" s="183">
        <v>1</v>
      </c>
      <c r="O478" s="184">
        <v>1</v>
      </c>
      <c r="P478" s="185">
        <v>1</v>
      </c>
      <c r="Q478" s="183">
        <v>1</v>
      </c>
      <c r="R478" s="184">
        <v>1</v>
      </c>
      <c r="S478" s="185">
        <v>1</v>
      </c>
      <c r="T478" s="183">
        <v>1</v>
      </c>
      <c r="U478" s="184">
        <v>1</v>
      </c>
      <c r="V478" s="185">
        <v>1</v>
      </c>
      <c r="W478" s="183">
        <v>1</v>
      </c>
      <c r="X478" s="184">
        <v>1</v>
      </c>
      <c r="Y478" s="185">
        <v>1</v>
      </c>
      <c r="Z478" s="183">
        <v>1</v>
      </c>
      <c r="AA478" s="184">
        <v>1</v>
      </c>
      <c r="AB478" s="185">
        <v>1</v>
      </c>
      <c r="AC478" s="41"/>
      <c r="AD478" s="89"/>
      <c r="AF478" s="128"/>
    </row>
    <row r="483" spans="11:18" ht="14.25" customHeight="1" x14ac:dyDescent="0.2">
      <c r="K483" s="213" t="s">
        <v>137</v>
      </c>
      <c r="L483" s="213"/>
      <c r="M483" s="213"/>
      <c r="N483" s="213"/>
      <c r="O483" s="213"/>
      <c r="P483" s="213"/>
      <c r="Q483" s="213"/>
      <c r="R483" s="213"/>
    </row>
    <row r="484" spans="11:18" x14ac:dyDescent="0.2">
      <c r="K484" s="213"/>
      <c r="L484" s="213"/>
      <c r="M484" s="213"/>
      <c r="N484" s="213"/>
      <c r="O484" s="213"/>
      <c r="P484" s="213"/>
      <c r="Q484" s="213"/>
      <c r="R484" s="213"/>
    </row>
    <row r="485" spans="11:18" x14ac:dyDescent="0.2">
      <c r="K485" s="221" t="s">
        <v>7135</v>
      </c>
      <c r="L485" s="219"/>
      <c r="M485" s="219"/>
      <c r="N485" s="219"/>
      <c r="O485" s="219"/>
      <c r="P485" s="219"/>
      <c r="Q485" s="219"/>
      <c r="R485" s="219"/>
    </row>
    <row r="486" spans="11:18" x14ac:dyDescent="0.2">
      <c r="K486" s="214" t="s">
        <v>7136</v>
      </c>
      <c r="L486" s="215"/>
      <c r="M486" s="215"/>
      <c r="N486" s="215"/>
      <c r="O486" s="215"/>
      <c r="P486" s="215"/>
      <c r="Q486" s="215"/>
      <c r="R486" s="215"/>
    </row>
    <row r="505" spans="1:32" ht="15" thickBot="1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</row>
    <row r="506" spans="1:32" ht="18.75" thickBot="1" x14ac:dyDescent="0.25">
      <c r="A506" s="240" t="s">
        <v>104</v>
      </c>
      <c r="B506" s="241"/>
      <c r="C506" s="241"/>
      <c r="D506" s="241"/>
      <c r="E506" s="241"/>
      <c r="F506" s="241"/>
      <c r="G506" s="242"/>
      <c r="H506" s="74"/>
      <c r="I506" s="74"/>
      <c r="J506" s="74"/>
      <c r="K506" s="74"/>
    </row>
    <row r="507" spans="1:32" ht="15.75" thickBot="1" x14ac:dyDescent="0.3">
      <c r="A507" s="28"/>
      <c r="B507" s="234" t="str">
        <f>+B73</f>
        <v>Successful</v>
      </c>
      <c r="C507" s="235"/>
      <c r="D507" s="236" t="str">
        <f>+D73</f>
        <v>Unsuccessful</v>
      </c>
      <c r="E507" s="237"/>
      <c r="F507" s="238" t="s">
        <v>16</v>
      </c>
      <c r="G507" s="239"/>
      <c r="H507" s="206">
        <f>+H472</f>
        <v>2021</v>
      </c>
      <c r="I507" s="207"/>
      <c r="J507" s="208"/>
      <c r="K507" s="206">
        <f>+K472</f>
        <v>2020</v>
      </c>
      <c r="L507" s="207"/>
      <c r="M507" s="208"/>
      <c r="N507" s="206">
        <f>+N472</f>
        <v>2019</v>
      </c>
      <c r="O507" s="207"/>
      <c r="P507" s="208"/>
      <c r="Q507" s="206">
        <f>+Q472</f>
        <v>2018</v>
      </c>
      <c r="R507" s="207"/>
      <c r="S507" s="208"/>
      <c r="T507" s="206">
        <f>+T472</f>
        <v>2017</v>
      </c>
      <c r="U507" s="207"/>
      <c r="V507" s="208"/>
      <c r="W507" s="209">
        <f>+W472</f>
        <v>2016</v>
      </c>
      <c r="X507" s="210"/>
      <c r="Y507" s="211"/>
      <c r="Z507" s="209">
        <f>+Z472</f>
        <v>2015</v>
      </c>
      <c r="AA507" s="210"/>
      <c r="AB507" s="211"/>
      <c r="AC507" s="165"/>
      <c r="AF507" s="162"/>
    </row>
    <row r="508" spans="1:32" ht="29.25" customHeight="1" thickBot="1" x14ac:dyDescent="0.25">
      <c r="A508" s="28"/>
      <c r="B508" s="29" t="s">
        <v>37</v>
      </c>
      <c r="C508" s="30" t="s">
        <v>38</v>
      </c>
      <c r="D508" s="29" t="s">
        <v>37</v>
      </c>
      <c r="E508" s="30" t="s">
        <v>38</v>
      </c>
      <c r="F508" s="29" t="s">
        <v>37</v>
      </c>
      <c r="G508" s="30" t="s">
        <v>38</v>
      </c>
      <c r="H508" s="186" t="s">
        <v>132</v>
      </c>
      <c r="I508" s="187" t="s">
        <v>133</v>
      </c>
      <c r="J508" s="44" t="s">
        <v>16</v>
      </c>
      <c r="K508" s="186" t="s">
        <v>132</v>
      </c>
      <c r="L508" s="187" t="s">
        <v>133</v>
      </c>
      <c r="M508" s="44" t="s">
        <v>16</v>
      </c>
      <c r="N508" s="186" t="s">
        <v>132</v>
      </c>
      <c r="O508" s="187" t="s">
        <v>133</v>
      </c>
      <c r="P508" s="44" t="s">
        <v>16</v>
      </c>
      <c r="Q508" s="186" t="s">
        <v>132</v>
      </c>
      <c r="R508" s="187" t="s">
        <v>133</v>
      </c>
      <c r="S508" s="44" t="s">
        <v>16</v>
      </c>
      <c r="T508" s="186" t="s">
        <v>132</v>
      </c>
      <c r="U508" s="187" t="s">
        <v>133</v>
      </c>
      <c r="V508" s="44" t="s">
        <v>16</v>
      </c>
      <c r="W508" s="186" t="s">
        <v>132</v>
      </c>
      <c r="X508" s="187" t="s">
        <v>133</v>
      </c>
      <c r="Y508" s="44" t="s">
        <v>16</v>
      </c>
      <c r="Z508" s="186" t="s">
        <v>132</v>
      </c>
      <c r="AA508" s="187" t="s">
        <v>133</v>
      </c>
      <c r="AB508" s="44" t="s">
        <v>16</v>
      </c>
    </row>
    <row r="509" spans="1:32" x14ac:dyDescent="0.2">
      <c r="A509" s="98" t="s">
        <v>134</v>
      </c>
      <c r="B509" s="31">
        <f>COUNTIFS(DATA!$V$3:$V$7183,1,DATA!$D$3:$D$7183,260)</f>
        <v>1</v>
      </c>
      <c r="C509" s="35">
        <f>IF(B513=0,0,+B509/B513)</f>
        <v>0.16666666666666666</v>
      </c>
      <c r="D509" s="31">
        <f>COUNTIFS(DATA!$V$3:$V$7183,1,DATA!$D$3:$D$7183,280)</f>
        <v>0</v>
      </c>
      <c r="E509" s="35">
        <f>+D509/D513</f>
        <v>0</v>
      </c>
      <c r="F509" s="31">
        <f>+D509+B509</f>
        <v>1</v>
      </c>
      <c r="G509" s="35">
        <f>+F509/F513</f>
        <v>5.8823529411764705E-2</v>
      </c>
      <c r="H509" s="181">
        <v>0.14285714285714285</v>
      </c>
      <c r="I509" s="180">
        <v>0.1111111111111111</v>
      </c>
      <c r="J509" s="182">
        <v>0.125</v>
      </c>
      <c r="K509" s="181">
        <v>0</v>
      </c>
      <c r="L509" s="180">
        <v>0.375</v>
      </c>
      <c r="M509" s="182">
        <v>0.2857142857142857</v>
      </c>
      <c r="N509" s="181">
        <v>0.75</v>
      </c>
      <c r="O509" s="180">
        <v>0.13333333333333333</v>
      </c>
      <c r="P509" s="182">
        <v>0.26315789473684209</v>
      </c>
      <c r="Q509" s="181">
        <v>0.22</v>
      </c>
      <c r="R509" s="180">
        <v>0.08</v>
      </c>
      <c r="S509" s="182">
        <v>0.14000000000000001</v>
      </c>
      <c r="T509" s="181">
        <v>0.25</v>
      </c>
      <c r="U509" s="180">
        <v>0.2</v>
      </c>
      <c r="V509" s="182">
        <v>0.22222222222222221</v>
      </c>
      <c r="W509" s="181">
        <v>0.16666666666666666</v>
      </c>
      <c r="X509" s="180">
        <v>0.11764705882352941</v>
      </c>
      <c r="Y509" s="182">
        <v>0.13043478260869565</v>
      </c>
      <c r="Z509" s="181">
        <v>0.125</v>
      </c>
      <c r="AA509" s="180">
        <v>0</v>
      </c>
      <c r="AB509" s="182">
        <v>4.3478260869565216E-2</v>
      </c>
    </row>
    <row r="510" spans="1:32" ht="14.25" customHeight="1" x14ac:dyDescent="0.2">
      <c r="A510" s="99" t="s">
        <v>135</v>
      </c>
      <c r="B510" s="31">
        <f>COUNTIFS(DATA!$V$3:$V$7183,2,DATA!$D$3:$D$7183,260)</f>
        <v>1</v>
      </c>
      <c r="C510" s="36">
        <f>IF(B513=0,0,+B510/B513)</f>
        <v>0.16666666666666666</v>
      </c>
      <c r="D510" s="42">
        <f>COUNTIFS(DATA!$V$3:$V$7183,2,DATA!$D$3:$D$7183,280)</f>
        <v>7</v>
      </c>
      <c r="E510" s="36">
        <f>+D510/D513</f>
        <v>0.63636363636363635</v>
      </c>
      <c r="F510" s="42">
        <f t="shared" ref="F510:F512" si="92">+D510+B510</f>
        <v>8</v>
      </c>
      <c r="G510" s="36">
        <f>+F510/F513</f>
        <v>0.47058823529411764</v>
      </c>
      <c r="H510" s="181">
        <v>0.42857142857142855</v>
      </c>
      <c r="I510" s="180">
        <v>0.44444444444444442</v>
      </c>
      <c r="J510" s="182">
        <v>0.4375</v>
      </c>
      <c r="K510" s="181">
        <v>0.6</v>
      </c>
      <c r="L510" s="180">
        <v>0.5</v>
      </c>
      <c r="M510" s="182">
        <v>0.52380952380952384</v>
      </c>
      <c r="N510" s="181">
        <v>0</v>
      </c>
      <c r="O510" s="180">
        <v>0.53333333333333333</v>
      </c>
      <c r="P510" s="182">
        <v>0.42105263157894735</v>
      </c>
      <c r="Q510" s="181">
        <v>0.22</v>
      </c>
      <c r="R510" s="180">
        <v>0.23</v>
      </c>
      <c r="S510" s="182">
        <v>0.23</v>
      </c>
      <c r="T510" s="181">
        <v>0.58333333333333337</v>
      </c>
      <c r="U510" s="180">
        <v>0.46666666666666667</v>
      </c>
      <c r="V510" s="182">
        <v>0.51851851851851849</v>
      </c>
      <c r="W510" s="181">
        <v>0.33333333333333331</v>
      </c>
      <c r="X510" s="180">
        <v>0.41176470588235292</v>
      </c>
      <c r="Y510" s="182">
        <v>0.39130434782608697</v>
      </c>
      <c r="Z510" s="181">
        <v>0.5</v>
      </c>
      <c r="AA510" s="180">
        <v>0.73333333333333328</v>
      </c>
      <c r="AB510" s="182">
        <v>0.65217391304347827</v>
      </c>
    </row>
    <row r="511" spans="1:32" x14ac:dyDescent="0.2">
      <c r="A511" s="92" t="s">
        <v>94</v>
      </c>
      <c r="B511" s="31">
        <f>COUNTIFS(DATA!$V$3:$V$7183,"3",DATA!$D$3:$D$7183,260)</f>
        <v>4</v>
      </c>
      <c r="C511" s="36">
        <f>IF(B513=0,0,+B511/B513)</f>
        <v>0.66666666666666663</v>
      </c>
      <c r="D511" s="42">
        <f>COUNTIFS(DATA!$V$3:$V$7183,"3",DATA!$D$3:$D$7183,280)</f>
        <v>4</v>
      </c>
      <c r="E511" s="36">
        <f>+D511/D513</f>
        <v>0.36363636363636365</v>
      </c>
      <c r="F511" s="42">
        <f t="shared" si="92"/>
        <v>8</v>
      </c>
      <c r="G511" s="36">
        <f>+F511/F513</f>
        <v>0.47058823529411764</v>
      </c>
      <c r="H511" s="181">
        <v>0.42857142857142855</v>
      </c>
      <c r="I511" s="180">
        <v>0.44444444444444442</v>
      </c>
      <c r="J511" s="182">
        <v>0.4375</v>
      </c>
      <c r="K511" s="181">
        <v>0.4</v>
      </c>
      <c r="L511" s="180">
        <v>0.125</v>
      </c>
      <c r="M511" s="182">
        <v>0.19047619047619047</v>
      </c>
      <c r="N511" s="181">
        <v>0.25</v>
      </c>
      <c r="O511" s="180">
        <v>0.26666666666666666</v>
      </c>
      <c r="P511" s="182">
        <v>0.26315789473684209</v>
      </c>
      <c r="Q511" s="181">
        <v>0.56000000000000005</v>
      </c>
      <c r="R511" s="180">
        <v>0.62</v>
      </c>
      <c r="S511" s="182">
        <v>0.59</v>
      </c>
      <c r="T511" s="181">
        <v>0.16666666666666666</v>
      </c>
      <c r="U511" s="180">
        <v>0.33333333333333331</v>
      </c>
      <c r="V511" s="182">
        <v>0.25925925925925924</v>
      </c>
      <c r="W511" s="181">
        <v>0.5</v>
      </c>
      <c r="X511" s="180">
        <v>0.47058823529411764</v>
      </c>
      <c r="Y511" s="182">
        <v>0.47826086956521741</v>
      </c>
      <c r="Z511" s="181">
        <v>0.375</v>
      </c>
      <c r="AA511" s="180">
        <v>0.26666666666666666</v>
      </c>
      <c r="AB511" s="182">
        <v>0.30434782608695654</v>
      </c>
    </row>
    <row r="512" spans="1:32" ht="15" thickBot="1" x14ac:dyDescent="0.25">
      <c r="A512" s="94" t="s">
        <v>39</v>
      </c>
      <c r="B512" s="31">
        <f>COUNTIFS(DATA!$V$3:$V$7183,"4",DATA!$D$3:$D$7183,260,DATA!$I$3:$I$7183,"D")</f>
        <v>0</v>
      </c>
      <c r="C512" s="37">
        <f>IF(B513=0,0,+B512/B513)</f>
        <v>0</v>
      </c>
      <c r="D512" s="21">
        <f>COUNTIFS(DATA!$V$3:$V$7183,"4",DATA!$D$3:$D$7183,280,DATA!$I$3:$I$7183,"D")</f>
        <v>0</v>
      </c>
      <c r="E512" s="36">
        <f>+D512/D513</f>
        <v>0</v>
      </c>
      <c r="F512" s="21">
        <f t="shared" si="92"/>
        <v>0</v>
      </c>
      <c r="G512" s="37">
        <f>+F512/F513</f>
        <v>0</v>
      </c>
      <c r="H512" s="181">
        <v>0</v>
      </c>
      <c r="I512" s="180">
        <v>0</v>
      </c>
      <c r="J512" s="182">
        <v>0</v>
      </c>
      <c r="K512" s="181">
        <v>0</v>
      </c>
      <c r="L512" s="180">
        <v>0</v>
      </c>
      <c r="M512" s="182">
        <v>0</v>
      </c>
      <c r="N512" s="181">
        <v>0</v>
      </c>
      <c r="O512" s="180">
        <v>6.6666666666666666E-2</v>
      </c>
      <c r="P512" s="182">
        <v>5.2631578947368418E-2</v>
      </c>
      <c r="Q512" s="181">
        <v>0</v>
      </c>
      <c r="R512" s="180">
        <v>0.08</v>
      </c>
      <c r="S512" s="182">
        <v>0.05</v>
      </c>
      <c r="T512" s="181">
        <v>0</v>
      </c>
      <c r="U512" s="180">
        <v>0</v>
      </c>
      <c r="V512" s="182">
        <v>0</v>
      </c>
      <c r="W512" s="181">
        <v>0</v>
      </c>
      <c r="X512" s="180">
        <v>0</v>
      </c>
      <c r="Y512" s="182">
        <v>0</v>
      </c>
      <c r="Z512" s="181">
        <v>0</v>
      </c>
      <c r="AA512" s="180">
        <v>0</v>
      </c>
      <c r="AB512" s="182">
        <v>0</v>
      </c>
      <c r="AC512" s="74"/>
      <c r="AF512" s="162"/>
    </row>
    <row r="513" spans="1:32" ht="15.75" thickBot="1" x14ac:dyDescent="0.3">
      <c r="A513" s="111" t="s">
        <v>16</v>
      </c>
      <c r="B513" s="101">
        <f>SUM(B509:B512)</f>
        <v>6</v>
      </c>
      <c r="C513" s="114">
        <f>IF(B513=0,0,+B513/B513)</f>
        <v>1</v>
      </c>
      <c r="D513" s="101">
        <f>SUM(D509:D512)</f>
        <v>11</v>
      </c>
      <c r="E513" s="114">
        <f>+D513/D513</f>
        <v>1</v>
      </c>
      <c r="F513" s="101">
        <f>SUM(F509:F512)</f>
        <v>17</v>
      </c>
      <c r="G513" s="114">
        <f>+F513/F513</f>
        <v>1</v>
      </c>
      <c r="H513" s="183">
        <v>1</v>
      </c>
      <c r="I513" s="184">
        <v>1</v>
      </c>
      <c r="J513" s="185">
        <v>1</v>
      </c>
      <c r="K513" s="183">
        <v>1</v>
      </c>
      <c r="L513" s="184">
        <v>1</v>
      </c>
      <c r="M513" s="185">
        <v>1</v>
      </c>
      <c r="N513" s="183">
        <v>1</v>
      </c>
      <c r="O513" s="184">
        <v>1</v>
      </c>
      <c r="P513" s="185">
        <v>1</v>
      </c>
      <c r="Q513" s="183">
        <v>1</v>
      </c>
      <c r="R513" s="184">
        <v>1</v>
      </c>
      <c r="S513" s="185">
        <v>1</v>
      </c>
      <c r="T513" s="183">
        <v>1</v>
      </c>
      <c r="U513" s="184">
        <v>1</v>
      </c>
      <c r="V513" s="185">
        <v>1</v>
      </c>
      <c r="W513" s="183">
        <v>1</v>
      </c>
      <c r="X513" s="184">
        <v>1</v>
      </c>
      <c r="Y513" s="185">
        <v>1</v>
      </c>
      <c r="Z513" s="183">
        <v>1</v>
      </c>
      <c r="AA513" s="184">
        <v>1</v>
      </c>
      <c r="AB513" s="185">
        <v>1</v>
      </c>
      <c r="AC513" s="40"/>
      <c r="AF513" s="162"/>
    </row>
    <row r="514" spans="1:32" x14ac:dyDescent="0.2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</row>
    <row r="515" spans="1:32" x14ac:dyDescent="0.2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</row>
    <row r="516" spans="1:32" x14ac:dyDescent="0.2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</row>
    <row r="517" spans="1:32" x14ac:dyDescent="0.2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</row>
    <row r="518" spans="1:32" ht="14.25" customHeight="1" x14ac:dyDescent="0.2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213" t="s">
        <v>185</v>
      </c>
      <c r="L518" s="213"/>
      <c r="M518" s="213"/>
      <c r="N518" s="213"/>
      <c r="O518" s="213"/>
      <c r="P518" s="213"/>
      <c r="Q518" s="213"/>
      <c r="R518" s="213"/>
    </row>
    <row r="519" spans="1:32" x14ac:dyDescent="0.2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213"/>
      <c r="L519" s="213"/>
      <c r="M519" s="213"/>
      <c r="N519" s="213"/>
      <c r="O519" s="213"/>
      <c r="P519" s="213"/>
      <c r="Q519" s="213"/>
      <c r="R519" s="213"/>
    </row>
    <row r="520" spans="1:32" x14ac:dyDescent="0.2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221" t="s">
        <v>7137</v>
      </c>
      <c r="L520" s="219"/>
      <c r="M520" s="219"/>
      <c r="N520" s="219"/>
      <c r="O520" s="219"/>
      <c r="P520" s="219"/>
      <c r="Q520" s="219"/>
      <c r="R520" s="219"/>
    </row>
    <row r="521" spans="1:32" x14ac:dyDescent="0.2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214" t="s">
        <v>7138</v>
      </c>
      <c r="L521" s="215"/>
      <c r="M521" s="215"/>
      <c r="N521" s="215"/>
      <c r="O521" s="215"/>
      <c r="P521" s="215"/>
      <c r="Q521" s="215"/>
      <c r="R521" s="215"/>
    </row>
    <row r="522" spans="1:32" x14ac:dyDescent="0.2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</row>
    <row r="523" spans="1:32" x14ac:dyDescent="0.2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</row>
    <row r="524" spans="1:32" x14ac:dyDescent="0.2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</row>
    <row r="525" spans="1:32" x14ac:dyDescent="0.2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</row>
    <row r="526" spans="1:32" x14ac:dyDescent="0.2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</row>
    <row r="527" spans="1:32" x14ac:dyDescent="0.2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</row>
    <row r="528" spans="1:32" x14ac:dyDescent="0.2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</row>
    <row r="529" spans="1:32" x14ac:dyDescent="0.2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</row>
    <row r="530" spans="1:32" x14ac:dyDescent="0.2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</row>
    <row r="531" spans="1:32" x14ac:dyDescent="0.2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</row>
    <row r="532" spans="1:32" x14ac:dyDescent="0.2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</row>
    <row r="533" spans="1:32" x14ac:dyDescent="0.2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</row>
    <row r="534" spans="1:32" x14ac:dyDescent="0.2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</row>
    <row r="535" spans="1:32" x14ac:dyDescent="0.2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</row>
    <row r="536" spans="1:32" x14ac:dyDescent="0.2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74"/>
    </row>
    <row r="537" spans="1:32" ht="15.75" customHeight="1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91"/>
    </row>
    <row r="538" spans="1:32" x14ac:dyDescent="0.2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87"/>
    </row>
    <row r="539" spans="1:32" x14ac:dyDescent="0.2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75"/>
    </row>
    <row r="540" spans="1:32" ht="15" thickBot="1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75"/>
    </row>
    <row r="541" spans="1:32" s="41" customFormat="1" ht="43.5" customHeight="1" thickBot="1" x14ac:dyDescent="0.25">
      <c r="A541" s="240" t="s">
        <v>105</v>
      </c>
      <c r="B541" s="241"/>
      <c r="C541" s="241"/>
      <c r="D541" s="241"/>
      <c r="E541" s="241"/>
      <c r="F541" s="241"/>
      <c r="G541" s="242"/>
      <c r="H541" s="74"/>
      <c r="I541" s="74"/>
      <c r="J541" s="74"/>
      <c r="K541" s="74"/>
      <c r="N541" s="162"/>
    </row>
    <row r="542" spans="1:32" s="41" customFormat="1" ht="15.75" thickBot="1" x14ac:dyDescent="0.3">
      <c r="A542" s="28"/>
      <c r="B542" s="234" t="str">
        <f>+B73</f>
        <v>Successful</v>
      </c>
      <c r="C542" s="235"/>
      <c r="D542" s="236" t="str">
        <f>+D73</f>
        <v>Unsuccessful</v>
      </c>
      <c r="E542" s="237"/>
      <c r="F542" s="238" t="s">
        <v>16</v>
      </c>
      <c r="G542" s="239"/>
      <c r="H542" s="206">
        <f>+H507</f>
        <v>2021</v>
      </c>
      <c r="I542" s="207"/>
      <c r="J542" s="208"/>
      <c r="K542" s="206">
        <f>+K507</f>
        <v>2020</v>
      </c>
      <c r="L542" s="207"/>
      <c r="M542" s="208"/>
      <c r="N542" s="206">
        <f>+N507</f>
        <v>2019</v>
      </c>
      <c r="O542" s="207"/>
      <c r="P542" s="208"/>
      <c r="Q542" s="206">
        <f>+Q507</f>
        <v>2018</v>
      </c>
      <c r="R542" s="207"/>
      <c r="S542" s="208"/>
      <c r="T542" s="206">
        <f>+T507</f>
        <v>2017</v>
      </c>
      <c r="U542" s="207"/>
      <c r="V542" s="208"/>
      <c r="W542" s="209">
        <f>+W507</f>
        <v>2016</v>
      </c>
      <c r="X542" s="210"/>
      <c r="Y542" s="211"/>
      <c r="Z542" s="209">
        <f>+Z507</f>
        <v>2015</v>
      </c>
      <c r="AA542" s="210"/>
      <c r="AB542" s="211"/>
      <c r="AC542" s="165"/>
      <c r="AF542" s="162"/>
    </row>
    <row r="543" spans="1:32" s="41" customFormat="1" ht="29.25" customHeight="1" thickBot="1" x14ac:dyDescent="0.25">
      <c r="A543" s="28"/>
      <c r="B543" s="29" t="s">
        <v>37</v>
      </c>
      <c r="C543" s="30" t="s">
        <v>38</v>
      </c>
      <c r="D543" s="29" t="s">
        <v>37</v>
      </c>
      <c r="E543" s="30" t="s">
        <v>38</v>
      </c>
      <c r="F543" s="29" t="s">
        <v>37</v>
      </c>
      <c r="G543" s="30" t="s">
        <v>38</v>
      </c>
      <c r="H543" s="186" t="s">
        <v>132</v>
      </c>
      <c r="I543" s="187" t="s">
        <v>133</v>
      </c>
      <c r="J543" s="44" t="s">
        <v>16</v>
      </c>
      <c r="K543" s="186" t="s">
        <v>132</v>
      </c>
      <c r="L543" s="187" t="s">
        <v>133</v>
      </c>
      <c r="M543" s="44" t="s">
        <v>16</v>
      </c>
      <c r="N543" s="186" t="s">
        <v>132</v>
      </c>
      <c r="O543" s="187" t="s">
        <v>133</v>
      </c>
      <c r="P543" s="44" t="s">
        <v>16</v>
      </c>
      <c r="Q543" s="186" t="s">
        <v>132</v>
      </c>
      <c r="R543" s="187" t="s">
        <v>133</v>
      </c>
      <c r="S543" s="44" t="s">
        <v>16</v>
      </c>
      <c r="T543" s="186" t="s">
        <v>132</v>
      </c>
      <c r="U543" s="187" t="s">
        <v>133</v>
      </c>
      <c r="V543" s="44" t="s">
        <v>16</v>
      </c>
      <c r="W543" s="186" t="s">
        <v>132</v>
      </c>
      <c r="X543" s="187" t="s">
        <v>133</v>
      </c>
      <c r="Y543" s="44" t="s">
        <v>16</v>
      </c>
      <c r="Z543" s="186" t="s">
        <v>132</v>
      </c>
      <c r="AA543" s="187" t="s">
        <v>133</v>
      </c>
      <c r="AB543" s="44" t="s">
        <v>16</v>
      </c>
    </row>
    <row r="544" spans="1:32" s="41" customFormat="1" x14ac:dyDescent="0.2">
      <c r="A544" s="98" t="s">
        <v>134</v>
      </c>
      <c r="B544" s="31">
        <f>COUNTIFS(DATA!$W$3:$W$7183,1,DATA!$D$3:$D$7183,260)</f>
        <v>181</v>
      </c>
      <c r="C544" s="35">
        <f>+B544/$B$549</f>
        <v>0.79039301310043664</v>
      </c>
      <c r="D544" s="31">
        <f>COUNTIFS(DATA!$W$3:$W$7183,1,DATA!$D$3:$D$7183,280)</f>
        <v>65</v>
      </c>
      <c r="E544" s="35">
        <f>+D544/$D$549</f>
        <v>0.67010309278350511</v>
      </c>
      <c r="F544" s="31">
        <f>+D544+B544</f>
        <v>246</v>
      </c>
      <c r="G544" s="35">
        <f>+F544/$F$549</f>
        <v>0.754601226993865</v>
      </c>
      <c r="H544" s="181">
        <v>0.83574879227053145</v>
      </c>
      <c r="I544" s="180">
        <v>0.54347826086956519</v>
      </c>
      <c r="J544" s="182">
        <v>0.74581939799331098</v>
      </c>
      <c r="K544" s="181">
        <v>0.84738955823293172</v>
      </c>
      <c r="L544" s="180">
        <v>0.71532846715328469</v>
      </c>
      <c r="M544" s="182">
        <v>0.80051813471502586</v>
      </c>
      <c r="N544" s="181">
        <v>0.83050847457627119</v>
      </c>
      <c r="O544" s="180">
        <v>0.63749999999999996</v>
      </c>
      <c r="P544" s="182">
        <v>0.77042801556420237</v>
      </c>
      <c r="Q544" s="181">
        <v>0.79</v>
      </c>
      <c r="R544" s="180">
        <v>0.64</v>
      </c>
      <c r="S544" s="182">
        <v>0.74</v>
      </c>
      <c r="T544" s="181">
        <v>0.77777777777777779</v>
      </c>
      <c r="U544" s="180">
        <v>0.61349693251533743</v>
      </c>
      <c r="V544" s="182">
        <v>0.7195652173913043</v>
      </c>
      <c r="W544" s="181">
        <v>0.81231671554252194</v>
      </c>
      <c r="X544" s="180">
        <v>0.61805555555555558</v>
      </c>
      <c r="Y544" s="182">
        <v>0.75463917525773194</v>
      </c>
      <c r="Z544" s="181">
        <v>0.83136094674556216</v>
      </c>
      <c r="AA544" s="180">
        <v>0.63551401869158874</v>
      </c>
      <c r="AB544" s="182">
        <v>0.78886310904872392</v>
      </c>
    </row>
    <row r="545" spans="1:32" s="41" customFormat="1" ht="14.25" customHeight="1" x14ac:dyDescent="0.2">
      <c r="A545" s="92" t="s">
        <v>89</v>
      </c>
      <c r="B545" s="31">
        <f>COUNTIFS(DATA!$W$3:$W$7183,2,DATA!$D$3:$D$7183,260)</f>
        <v>29</v>
      </c>
      <c r="C545" s="35">
        <f t="shared" ref="C545:C548" si="93">+B545/$B$549</f>
        <v>0.12663755458515283</v>
      </c>
      <c r="D545" s="42">
        <f>COUNTIFS(DATA!$W$3:$W$7183,2,DATA!$D$3:$D$7183,280)</f>
        <v>14</v>
      </c>
      <c r="E545" s="35">
        <f t="shared" ref="E545:E548" si="94">+D545/$D$549</f>
        <v>0.14432989690721648</v>
      </c>
      <c r="F545" s="42">
        <f t="shared" ref="F545:F548" si="95">+D545+B545</f>
        <v>43</v>
      </c>
      <c r="G545" s="35">
        <f t="shared" ref="G545:G548" si="96">+F545/$F$549</f>
        <v>0.13190184049079753</v>
      </c>
      <c r="H545" s="181">
        <v>9.6618357487922704E-2</v>
      </c>
      <c r="I545" s="180">
        <v>0.22826086956521738</v>
      </c>
      <c r="J545" s="182">
        <v>0.13712374581939799</v>
      </c>
      <c r="K545" s="181">
        <v>0.11646586345381527</v>
      </c>
      <c r="L545" s="180">
        <v>0.13138686131386862</v>
      </c>
      <c r="M545" s="182">
        <v>0.12176165803108809</v>
      </c>
      <c r="N545" s="181">
        <v>0.1271186440677966</v>
      </c>
      <c r="O545" s="180">
        <v>0.18124999999999999</v>
      </c>
      <c r="P545" s="182">
        <v>0.14396887159533073</v>
      </c>
      <c r="Q545" s="181">
        <v>0.12</v>
      </c>
      <c r="R545" s="180">
        <v>0.16</v>
      </c>
      <c r="S545" s="182">
        <v>0.14000000000000001</v>
      </c>
      <c r="T545" s="181">
        <v>0.13131313131313133</v>
      </c>
      <c r="U545" s="180">
        <v>0.15950920245398773</v>
      </c>
      <c r="V545" s="182">
        <v>0.14130434782608695</v>
      </c>
      <c r="W545" s="181">
        <v>0.10850439882697947</v>
      </c>
      <c r="X545" s="180">
        <v>0.15277777777777779</v>
      </c>
      <c r="Y545" s="182">
        <v>0.12164948453608247</v>
      </c>
      <c r="Z545" s="181">
        <v>0.10650887573964497</v>
      </c>
      <c r="AA545" s="180">
        <v>0.14953271028037382</v>
      </c>
      <c r="AB545" s="182">
        <v>0.12</v>
      </c>
    </row>
    <row r="546" spans="1:32" s="41" customFormat="1" ht="14.25" customHeight="1" x14ac:dyDescent="0.2">
      <c r="A546" s="92" t="s">
        <v>90</v>
      </c>
      <c r="B546" s="31">
        <f>COUNTIFS(DATA!$W$3:$W$7183,"3",DATA!$D$3:$D$7183,260)</f>
        <v>7</v>
      </c>
      <c r="C546" s="35">
        <f t="shared" si="93"/>
        <v>3.0567685589519649E-2</v>
      </c>
      <c r="D546" s="42">
        <f>COUNTIFS(DATA!$W$3:$W$7183,"3",DATA!$D$3:$D$7183,280)</f>
        <v>6</v>
      </c>
      <c r="E546" s="35">
        <f t="shared" si="94"/>
        <v>6.1855670103092786E-2</v>
      </c>
      <c r="F546" s="42">
        <f t="shared" si="95"/>
        <v>13</v>
      </c>
      <c r="G546" s="35">
        <f t="shared" si="96"/>
        <v>3.9877300613496931E-2</v>
      </c>
      <c r="H546" s="181">
        <v>3.864734299516908E-2</v>
      </c>
      <c r="I546" s="180">
        <v>9.7826086956521743E-2</v>
      </c>
      <c r="J546" s="182">
        <v>5.6856187290969896E-2</v>
      </c>
      <c r="K546" s="181">
        <v>4.0160642570281121E-3</v>
      </c>
      <c r="L546" s="180">
        <v>2.1897810218978103E-2</v>
      </c>
      <c r="M546" s="182">
        <v>1.0362694300518135E-2</v>
      </c>
      <c r="N546" s="181">
        <v>1.4124293785310734E-2</v>
      </c>
      <c r="O546" s="180">
        <v>7.4999999999999997E-2</v>
      </c>
      <c r="P546" s="182">
        <v>3.3073929961089495E-2</v>
      </c>
      <c r="Q546" s="181">
        <v>0.03</v>
      </c>
      <c r="R546" s="180">
        <v>0.1</v>
      </c>
      <c r="S546" s="182">
        <v>0.05</v>
      </c>
      <c r="T546" s="181">
        <v>5.387205387205387E-2</v>
      </c>
      <c r="U546" s="180">
        <v>7.3619631901840496E-2</v>
      </c>
      <c r="V546" s="182">
        <v>6.0869565217391307E-2</v>
      </c>
      <c r="W546" s="181">
        <v>2.0527859237536656E-2</v>
      </c>
      <c r="X546" s="180">
        <v>0.1111111111111111</v>
      </c>
      <c r="Y546" s="182">
        <v>4.7422680412371132E-2</v>
      </c>
      <c r="Z546" s="181">
        <v>1.4792899408284023E-2</v>
      </c>
      <c r="AA546" s="180">
        <v>9.3457943925233641E-2</v>
      </c>
      <c r="AB546" s="182">
        <v>3.4802784222737818E-2</v>
      </c>
    </row>
    <row r="547" spans="1:32" s="41" customFormat="1" ht="14.25" customHeight="1" x14ac:dyDescent="0.2">
      <c r="A547" s="82" t="s">
        <v>91</v>
      </c>
      <c r="B547" s="31">
        <f>COUNTIFS(DATA!$W$3:$W$7183,"4",DATA!$D$3:$D$7183,260,DATA!$I$3:$I$7183,"D")</f>
        <v>4</v>
      </c>
      <c r="C547" s="35">
        <f t="shared" si="93"/>
        <v>1.7467248908296942E-2</v>
      </c>
      <c r="D547" s="21">
        <f>COUNTIFS(DATA!$W$3:$W$7183,"4",DATA!$D$3:$D$7183,280,DATA!$I$3:$I$7183,"D")</f>
        <v>10</v>
      </c>
      <c r="E547" s="35">
        <f t="shared" si="94"/>
        <v>0.10309278350515463</v>
      </c>
      <c r="F547" s="21">
        <f t="shared" si="95"/>
        <v>14</v>
      </c>
      <c r="G547" s="35">
        <f t="shared" si="96"/>
        <v>4.2944785276073622E-2</v>
      </c>
      <c r="H547" s="181">
        <v>1.4492753623188406E-2</v>
      </c>
      <c r="I547" s="180">
        <v>7.6086956521739135E-2</v>
      </c>
      <c r="J547" s="182">
        <v>3.3444816053511704E-2</v>
      </c>
      <c r="K547" s="181">
        <v>2.0080321285140562E-2</v>
      </c>
      <c r="L547" s="180">
        <v>8.0291970802919707E-2</v>
      </c>
      <c r="M547" s="182">
        <v>4.145077720207254E-2</v>
      </c>
      <c r="N547" s="181">
        <v>5.6497175141242938E-3</v>
      </c>
      <c r="O547" s="180">
        <v>8.1250000000000003E-2</v>
      </c>
      <c r="P547" s="182">
        <v>2.9182879377431907E-2</v>
      </c>
      <c r="Q547" s="181">
        <v>0.02</v>
      </c>
      <c r="R547" s="180">
        <v>0.05</v>
      </c>
      <c r="S547" s="182">
        <v>0.03</v>
      </c>
      <c r="T547" s="181">
        <v>1.3468013468013467E-2</v>
      </c>
      <c r="U547" s="180">
        <v>0.10429447852760736</v>
      </c>
      <c r="V547" s="182">
        <v>4.5652173913043478E-2</v>
      </c>
      <c r="W547" s="181">
        <v>1.7595307917888565E-2</v>
      </c>
      <c r="X547" s="180">
        <v>7.6388888888888895E-2</v>
      </c>
      <c r="Y547" s="182">
        <v>3.5051546391752578E-2</v>
      </c>
      <c r="Z547" s="181">
        <v>1.7751479289940829E-2</v>
      </c>
      <c r="AA547" s="180">
        <v>9.3457943925233641E-2</v>
      </c>
      <c r="AB547" s="182">
        <v>3.7122969837587005E-2</v>
      </c>
    </row>
    <row r="548" spans="1:32" s="41" customFormat="1" ht="15" customHeight="1" thickBot="1" x14ac:dyDescent="0.25">
      <c r="A548" s="93" t="s">
        <v>39</v>
      </c>
      <c r="B548" s="31">
        <f>COUNTIFS(DATA!$W$3:$W$7183,"5",DATA!$D$3:$D$7183,260,DATA!$I$3:$I$7183,"D")</f>
        <v>8</v>
      </c>
      <c r="C548" s="35">
        <f t="shared" si="93"/>
        <v>3.4934497816593885E-2</v>
      </c>
      <c r="D548" s="21">
        <f>COUNTIFS(DATA!$W$3:$W$7183,"5",DATA!$D$3:$D$7183,280,DATA!$I$3:$I$7183,"D")</f>
        <v>2</v>
      </c>
      <c r="E548" s="35">
        <f t="shared" si="94"/>
        <v>2.0618556701030927E-2</v>
      </c>
      <c r="F548" s="21">
        <f t="shared" si="95"/>
        <v>10</v>
      </c>
      <c r="G548" s="35">
        <f t="shared" si="96"/>
        <v>3.0674846625766871E-2</v>
      </c>
      <c r="H548" s="181">
        <v>1.4492753623188406E-2</v>
      </c>
      <c r="I548" s="180">
        <v>5.434782608695652E-2</v>
      </c>
      <c r="J548" s="182">
        <v>2.6755852842809364E-2</v>
      </c>
      <c r="K548" s="181">
        <v>1.2048192771084338E-2</v>
      </c>
      <c r="L548" s="180">
        <v>5.1094890510948905E-2</v>
      </c>
      <c r="M548" s="182">
        <v>2.5906735751295335E-2</v>
      </c>
      <c r="N548" s="181">
        <v>2.2598870056497175E-2</v>
      </c>
      <c r="O548" s="180">
        <v>2.5000000000000001E-2</v>
      </c>
      <c r="P548" s="182">
        <v>2.3346303501945526E-2</v>
      </c>
      <c r="Q548" s="181">
        <v>0.04</v>
      </c>
      <c r="R548" s="180">
        <v>0.06</v>
      </c>
      <c r="S548" s="182">
        <v>0.04</v>
      </c>
      <c r="T548" s="181">
        <v>2.3569023569023569E-2</v>
      </c>
      <c r="U548" s="180">
        <v>4.9079754601226995E-2</v>
      </c>
      <c r="V548" s="182">
        <v>3.2608695652173912E-2</v>
      </c>
      <c r="W548" s="181">
        <v>4.1055718475073312E-2</v>
      </c>
      <c r="X548" s="180">
        <v>4.1666666666666664E-2</v>
      </c>
      <c r="Y548" s="182">
        <v>4.1237113402061855E-2</v>
      </c>
      <c r="Z548" s="181">
        <v>2.9585798816568046E-2</v>
      </c>
      <c r="AA548" s="180">
        <v>2.8037383177570093E-2</v>
      </c>
      <c r="AB548" s="182">
        <v>2.5522041763341066E-2</v>
      </c>
    </row>
    <row r="549" spans="1:32" s="41" customFormat="1" ht="15.75" thickBot="1" x14ac:dyDescent="0.3">
      <c r="A549" s="111" t="s">
        <v>16</v>
      </c>
      <c r="B549" s="101">
        <f>SUM(B544:B548)</f>
        <v>229</v>
      </c>
      <c r="C549" s="114">
        <f>+B549/$B$549</f>
        <v>1</v>
      </c>
      <c r="D549" s="101">
        <f>SUM(D544:D548)</f>
        <v>97</v>
      </c>
      <c r="E549" s="114">
        <f>+D549/$D$549</f>
        <v>1</v>
      </c>
      <c r="F549" s="101">
        <f>SUM(F544:F548)</f>
        <v>326</v>
      </c>
      <c r="G549" s="114">
        <f>+F549/$F$549</f>
        <v>1</v>
      </c>
      <c r="H549" s="183">
        <v>1</v>
      </c>
      <c r="I549" s="184">
        <v>1</v>
      </c>
      <c r="J549" s="185">
        <v>1</v>
      </c>
      <c r="K549" s="183">
        <v>1</v>
      </c>
      <c r="L549" s="184">
        <v>1</v>
      </c>
      <c r="M549" s="185">
        <v>1</v>
      </c>
      <c r="N549" s="183">
        <v>1</v>
      </c>
      <c r="O549" s="184">
        <v>1</v>
      </c>
      <c r="P549" s="185">
        <v>1</v>
      </c>
      <c r="Q549" s="183">
        <v>1</v>
      </c>
      <c r="R549" s="184">
        <v>1</v>
      </c>
      <c r="S549" s="185">
        <v>1</v>
      </c>
      <c r="T549" s="183">
        <v>1</v>
      </c>
      <c r="U549" s="184">
        <v>1</v>
      </c>
      <c r="V549" s="185">
        <v>1</v>
      </c>
      <c r="W549" s="183">
        <v>1</v>
      </c>
      <c r="X549" s="184">
        <v>1</v>
      </c>
      <c r="Y549" s="185">
        <v>1</v>
      </c>
      <c r="Z549" s="183">
        <v>1</v>
      </c>
      <c r="AA549" s="184">
        <v>1</v>
      </c>
      <c r="AB549" s="185">
        <v>1</v>
      </c>
      <c r="AF549" s="162"/>
    </row>
    <row r="553" spans="1:32" ht="14.25" customHeight="1" x14ac:dyDescent="0.2">
      <c r="K553" s="218" t="s">
        <v>7098</v>
      </c>
      <c r="L553" s="218"/>
      <c r="M553" s="218"/>
      <c r="N553" s="218"/>
      <c r="O553" s="218"/>
      <c r="P553" s="218"/>
      <c r="Q553" s="218"/>
      <c r="R553" s="218"/>
    </row>
    <row r="554" spans="1:32" x14ac:dyDescent="0.2">
      <c r="K554" s="218"/>
      <c r="L554" s="218"/>
      <c r="M554" s="218"/>
      <c r="N554" s="218"/>
      <c r="O554" s="218"/>
      <c r="P554" s="218"/>
      <c r="Q554" s="218"/>
      <c r="R554" s="218"/>
    </row>
    <row r="555" spans="1:32" x14ac:dyDescent="0.2">
      <c r="K555" s="221" t="s">
        <v>7139</v>
      </c>
      <c r="L555" s="219"/>
      <c r="M555" s="219"/>
      <c r="N555" s="219"/>
      <c r="O555" s="219"/>
      <c r="P555" s="219"/>
      <c r="Q555" s="219"/>
      <c r="R555" s="219"/>
    </row>
    <row r="556" spans="1:32" x14ac:dyDescent="0.2">
      <c r="K556" s="221" t="s">
        <v>7140</v>
      </c>
      <c r="L556" s="219"/>
      <c r="M556" s="219"/>
      <c r="N556" s="219"/>
      <c r="O556" s="219"/>
      <c r="P556" s="219"/>
      <c r="Q556" s="219"/>
      <c r="R556" s="219"/>
    </row>
    <row r="557" spans="1:32" x14ac:dyDescent="0.2">
      <c r="K557" s="214" t="s">
        <v>7141</v>
      </c>
      <c r="L557" s="215"/>
      <c r="M557" s="215"/>
      <c r="N557" s="215"/>
      <c r="O557" s="215"/>
      <c r="P557" s="215"/>
      <c r="Q557" s="215"/>
      <c r="R557" s="215"/>
    </row>
    <row r="558" spans="1:32" x14ac:dyDescent="0.2">
      <c r="K558" s="214" t="s">
        <v>7142</v>
      </c>
      <c r="L558" s="215"/>
      <c r="M558" s="215"/>
      <c r="N558" s="215"/>
      <c r="O558" s="215"/>
      <c r="P558" s="215"/>
      <c r="Q558" s="215"/>
      <c r="R558" s="215"/>
    </row>
    <row r="570" spans="1:32" ht="15" customHeight="1" x14ac:dyDescent="0.2"/>
    <row r="572" spans="1:32" ht="15" thickBot="1" x14ac:dyDescent="0.2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</row>
    <row r="573" spans="1:32" ht="18.75" thickBot="1" x14ac:dyDescent="0.25">
      <c r="A573" s="240" t="s">
        <v>106</v>
      </c>
      <c r="B573" s="241"/>
      <c r="C573" s="241"/>
      <c r="D573" s="241"/>
      <c r="E573" s="241"/>
      <c r="F573" s="241"/>
      <c r="G573" s="242"/>
      <c r="H573" s="74"/>
      <c r="I573" s="74"/>
      <c r="J573" s="74"/>
      <c r="K573" s="74"/>
    </row>
    <row r="574" spans="1:32" ht="15.75" thickBot="1" x14ac:dyDescent="0.3">
      <c r="A574" s="28"/>
      <c r="B574" s="234" t="str">
        <f>+B73</f>
        <v>Successful</v>
      </c>
      <c r="C574" s="235"/>
      <c r="D574" s="236" t="str">
        <f>+D73</f>
        <v>Unsuccessful</v>
      </c>
      <c r="E574" s="237"/>
      <c r="F574" s="238" t="s">
        <v>16</v>
      </c>
      <c r="G574" s="239"/>
      <c r="H574" s="206">
        <f>+H542</f>
        <v>2021</v>
      </c>
      <c r="I574" s="207"/>
      <c r="J574" s="208"/>
      <c r="K574" s="206">
        <f>+K542</f>
        <v>2020</v>
      </c>
      <c r="L574" s="207"/>
      <c r="M574" s="208"/>
      <c r="N574" s="206">
        <f>+N542</f>
        <v>2019</v>
      </c>
      <c r="O574" s="207"/>
      <c r="P574" s="208"/>
      <c r="Q574" s="206">
        <f>+Q542</f>
        <v>2018</v>
      </c>
      <c r="R574" s="207"/>
      <c r="S574" s="208"/>
      <c r="T574" s="206">
        <f>+T542</f>
        <v>2017</v>
      </c>
      <c r="U574" s="207"/>
      <c r="V574" s="208"/>
      <c r="W574" s="209">
        <f>+W542</f>
        <v>2016</v>
      </c>
      <c r="X574" s="210"/>
      <c r="Y574" s="211"/>
      <c r="Z574" s="209">
        <f>+Z542</f>
        <v>2015</v>
      </c>
      <c r="AA574" s="210"/>
      <c r="AB574" s="211"/>
      <c r="AC574" s="165"/>
      <c r="AF574" s="162"/>
    </row>
    <row r="575" spans="1:32" ht="29.25" customHeight="1" thickBot="1" x14ac:dyDescent="0.25">
      <c r="A575" s="28"/>
      <c r="B575" s="29" t="s">
        <v>37</v>
      </c>
      <c r="C575" s="30" t="s">
        <v>38</v>
      </c>
      <c r="D575" s="29" t="s">
        <v>37</v>
      </c>
      <c r="E575" s="30" t="s">
        <v>38</v>
      </c>
      <c r="F575" s="29" t="s">
        <v>37</v>
      </c>
      <c r="G575" s="30" t="s">
        <v>38</v>
      </c>
      <c r="H575" s="186" t="s">
        <v>132</v>
      </c>
      <c r="I575" s="187" t="s">
        <v>133</v>
      </c>
      <c r="J575" s="44" t="s">
        <v>16</v>
      </c>
      <c r="K575" s="186" t="s">
        <v>132</v>
      </c>
      <c r="L575" s="187" t="s">
        <v>133</v>
      </c>
      <c r="M575" s="44" t="s">
        <v>16</v>
      </c>
      <c r="N575" s="186" t="s">
        <v>132</v>
      </c>
      <c r="O575" s="187" t="s">
        <v>133</v>
      </c>
      <c r="P575" s="44" t="s">
        <v>16</v>
      </c>
      <c r="Q575" s="186" t="s">
        <v>132</v>
      </c>
      <c r="R575" s="187" t="s">
        <v>133</v>
      </c>
      <c r="S575" s="44" t="s">
        <v>16</v>
      </c>
      <c r="T575" s="186" t="s">
        <v>132</v>
      </c>
      <c r="U575" s="187" t="s">
        <v>133</v>
      </c>
      <c r="V575" s="44" t="s">
        <v>16</v>
      </c>
      <c r="W575" s="186" t="s">
        <v>132</v>
      </c>
      <c r="X575" s="187" t="s">
        <v>133</v>
      </c>
      <c r="Y575" s="44" t="s">
        <v>16</v>
      </c>
      <c r="Z575" s="186" t="s">
        <v>132</v>
      </c>
      <c r="AA575" s="187" t="s">
        <v>133</v>
      </c>
      <c r="AB575" s="44" t="s">
        <v>16</v>
      </c>
    </row>
    <row r="576" spans="1:32" x14ac:dyDescent="0.2">
      <c r="A576" s="98" t="s">
        <v>134</v>
      </c>
      <c r="B576" s="31">
        <f>COUNTIFS(DATA!$X$3:$X$7183,1,DATA!$D$3:$D$7183,260)</f>
        <v>7</v>
      </c>
      <c r="C576" s="35">
        <f>IF(B580=0,0,+B576/B580)</f>
        <v>0.63636363636363635</v>
      </c>
      <c r="D576" s="31">
        <f>COUNTIFS(DATA!$X$3:$X$7183,1,DATA!$D$3:$D$7183,280)</f>
        <v>1</v>
      </c>
      <c r="E576" s="35">
        <f>+D576/D580</f>
        <v>6.25E-2</v>
      </c>
      <c r="F576" s="31">
        <f>+D576+B576</f>
        <v>8</v>
      </c>
      <c r="G576" s="35">
        <f>+F576/F580</f>
        <v>0.29629629629629628</v>
      </c>
      <c r="H576" s="181">
        <v>9.0909090909090912E-2</v>
      </c>
      <c r="I576" s="180">
        <v>6.25E-2</v>
      </c>
      <c r="J576" s="182">
        <v>7.407407407407407E-2</v>
      </c>
      <c r="K576" s="181">
        <v>0.16666666666666666</v>
      </c>
      <c r="L576" s="180">
        <v>7.1428571428571425E-2</v>
      </c>
      <c r="M576" s="182">
        <v>0.1</v>
      </c>
      <c r="N576" s="181">
        <v>0.2857142857142857</v>
      </c>
      <c r="O576" s="180">
        <v>0.08</v>
      </c>
      <c r="P576" s="182">
        <v>0.125</v>
      </c>
      <c r="Q576" s="181">
        <v>0.19</v>
      </c>
      <c r="R576" s="180">
        <v>0.17</v>
      </c>
      <c r="S576" s="182">
        <v>0.18</v>
      </c>
      <c r="T576" s="181">
        <v>0.25</v>
      </c>
      <c r="U576" s="180">
        <v>6.8965517241379309E-2</v>
      </c>
      <c r="V576" s="182">
        <v>0.14285714285714285</v>
      </c>
      <c r="W576" s="181">
        <v>7.6923076923076927E-2</v>
      </c>
      <c r="X576" s="180">
        <v>0.14814814814814814</v>
      </c>
      <c r="Y576" s="182">
        <v>0.125</v>
      </c>
      <c r="Z576" s="181">
        <v>0.36363636363636365</v>
      </c>
      <c r="AA576" s="180">
        <v>0.05</v>
      </c>
      <c r="AB576" s="182">
        <v>0.16129032258064516</v>
      </c>
    </row>
    <row r="577" spans="1:32" ht="27.75" customHeight="1" x14ac:dyDescent="0.2">
      <c r="A577" s="99" t="s">
        <v>135</v>
      </c>
      <c r="B577" s="31">
        <f>COUNTIFS(DATA!$X$3:$X$7183,2,DATA!$D$3:$D$7183,260)</f>
        <v>4</v>
      </c>
      <c r="C577" s="35">
        <f>IF(B580=0,0,+B577/B580)</f>
        <v>0.36363636363636365</v>
      </c>
      <c r="D577" s="42">
        <f>COUNTIFS(DATA!$X$3:$X$7183,2,DATA!$D$3:$D$7183,280)</f>
        <v>13</v>
      </c>
      <c r="E577" s="35">
        <f>+D577/D580</f>
        <v>0.8125</v>
      </c>
      <c r="F577" s="42">
        <f t="shared" ref="F577:F579" si="97">+D577+B577</f>
        <v>17</v>
      </c>
      <c r="G577" s="35">
        <f>+F577/F580</f>
        <v>0.62962962962962965</v>
      </c>
      <c r="H577" s="181">
        <v>0.72727272727272729</v>
      </c>
      <c r="I577" s="180">
        <v>0.625</v>
      </c>
      <c r="J577" s="182">
        <v>0.66666666666666663</v>
      </c>
      <c r="K577" s="181">
        <v>0.66666666666666663</v>
      </c>
      <c r="L577" s="180">
        <v>0.7857142857142857</v>
      </c>
      <c r="M577" s="182">
        <v>0.75</v>
      </c>
      <c r="N577" s="181">
        <v>0.7142857142857143</v>
      </c>
      <c r="O577" s="180">
        <v>0.64</v>
      </c>
      <c r="P577" s="182">
        <v>0.65625</v>
      </c>
      <c r="Q577" s="181">
        <v>0.69</v>
      </c>
      <c r="R577" s="180">
        <v>0.67</v>
      </c>
      <c r="S577" s="182">
        <v>0.68</v>
      </c>
      <c r="T577" s="181">
        <v>0.6</v>
      </c>
      <c r="U577" s="180">
        <v>0.82758620689655171</v>
      </c>
      <c r="V577" s="182">
        <v>0.73469387755102045</v>
      </c>
      <c r="W577" s="181">
        <v>0.76923076923076927</v>
      </c>
      <c r="X577" s="180">
        <v>0.66666666666666663</v>
      </c>
      <c r="Y577" s="182">
        <v>0.7</v>
      </c>
      <c r="Z577" s="181">
        <v>0.54545454545454541</v>
      </c>
      <c r="AA577" s="180">
        <v>0.85</v>
      </c>
      <c r="AB577" s="182">
        <v>0.74193548387096775</v>
      </c>
    </row>
    <row r="578" spans="1:32" ht="28.5" customHeight="1" x14ac:dyDescent="0.2">
      <c r="A578" s="92" t="s">
        <v>94</v>
      </c>
      <c r="B578" s="31">
        <f>COUNTIFS(DATA!$X$3:$X$7183,"3",DATA!$D$3:$D$7183,260)</f>
        <v>0</v>
      </c>
      <c r="C578" s="35">
        <f>IF(B580=0,0,+B578/B580)</f>
        <v>0</v>
      </c>
      <c r="D578" s="42">
        <f>COUNTIFS(DATA!$X$3:$X$7183,"3",DATA!$D$3:$D$7183,280)</f>
        <v>2</v>
      </c>
      <c r="E578" s="35">
        <f>+D578/D580</f>
        <v>0.125</v>
      </c>
      <c r="F578" s="42">
        <f t="shared" si="97"/>
        <v>2</v>
      </c>
      <c r="G578" s="35">
        <f>+F578/F580</f>
        <v>7.407407407407407E-2</v>
      </c>
      <c r="H578" s="181">
        <v>0.18181818181818182</v>
      </c>
      <c r="I578" s="180">
        <v>0.25</v>
      </c>
      <c r="J578" s="182">
        <v>0.22222222222222221</v>
      </c>
      <c r="K578" s="181">
        <v>0.16666666666666666</v>
      </c>
      <c r="L578" s="180">
        <v>0.14285714285714285</v>
      </c>
      <c r="M578" s="182">
        <v>0.15</v>
      </c>
      <c r="N578" s="181">
        <v>0</v>
      </c>
      <c r="O578" s="180">
        <v>0.2</v>
      </c>
      <c r="P578" s="182">
        <v>0.15625</v>
      </c>
      <c r="Q578" s="181">
        <v>0.13</v>
      </c>
      <c r="R578" s="180">
        <v>0.17</v>
      </c>
      <c r="S578" s="182">
        <v>0.15</v>
      </c>
      <c r="T578" s="181">
        <v>0.1</v>
      </c>
      <c r="U578" s="180">
        <v>6.8965517241379309E-2</v>
      </c>
      <c r="V578" s="182">
        <v>8.1632653061224483E-2</v>
      </c>
      <c r="W578" s="181">
        <v>0.15384615384615385</v>
      </c>
      <c r="X578" s="180">
        <v>0.14814814814814814</v>
      </c>
      <c r="Y578" s="182">
        <v>0.15</v>
      </c>
      <c r="Z578" s="181">
        <v>9.0909090909090912E-2</v>
      </c>
      <c r="AA578" s="180">
        <v>0.1</v>
      </c>
      <c r="AB578" s="182">
        <v>9.6774193548387094E-2</v>
      </c>
    </row>
    <row r="579" spans="1:32" ht="15" thickBot="1" x14ac:dyDescent="0.25">
      <c r="A579" s="93" t="s">
        <v>39</v>
      </c>
      <c r="B579" s="31">
        <f>COUNTIFS(DATA!$X$3:$X$7183,"4",DATA!$D$3:$D$7183,260)</f>
        <v>0</v>
      </c>
      <c r="C579" s="35">
        <f>IF(B580=0,0,+B579/B580)</f>
        <v>0</v>
      </c>
      <c r="D579" s="42">
        <f>COUNTIFS(DATA!$X$3:$X$7183,"4",DATA!$D$3:$D$7183,280)</f>
        <v>0</v>
      </c>
      <c r="E579" s="35">
        <f>+D579/D580</f>
        <v>0</v>
      </c>
      <c r="F579" s="42">
        <f t="shared" si="97"/>
        <v>0</v>
      </c>
      <c r="G579" s="35">
        <f>+F579/F580</f>
        <v>0</v>
      </c>
      <c r="H579" s="181">
        <v>0</v>
      </c>
      <c r="I579" s="180">
        <v>6.25E-2</v>
      </c>
      <c r="J579" s="182">
        <v>3.7037037037037035E-2</v>
      </c>
      <c r="K579" s="181">
        <v>0</v>
      </c>
      <c r="L579" s="180">
        <v>0</v>
      </c>
      <c r="M579" s="182">
        <v>0</v>
      </c>
      <c r="N579" s="181">
        <v>0</v>
      </c>
      <c r="O579" s="180">
        <v>0.08</v>
      </c>
      <c r="P579" s="182">
        <v>6.25E-2</v>
      </c>
      <c r="Q579" s="181">
        <v>0</v>
      </c>
      <c r="R579" s="180">
        <v>0</v>
      </c>
      <c r="S579" s="182">
        <v>0</v>
      </c>
      <c r="T579" s="181">
        <v>0.05</v>
      </c>
      <c r="U579" s="180">
        <v>3.4482758620689655E-2</v>
      </c>
      <c r="V579" s="182">
        <v>4.0816326530612242E-2</v>
      </c>
      <c r="W579" s="181">
        <v>0</v>
      </c>
      <c r="X579" s="180">
        <v>3.7037037037037035E-2</v>
      </c>
      <c r="Y579" s="182">
        <v>2.5000000000000001E-2</v>
      </c>
      <c r="Z579" s="181">
        <v>0</v>
      </c>
      <c r="AA579" s="180">
        <v>0</v>
      </c>
      <c r="AB579" s="182">
        <v>0</v>
      </c>
      <c r="AC579" s="74"/>
      <c r="AF579" s="162"/>
    </row>
    <row r="580" spans="1:32" ht="15.75" thickBot="1" x14ac:dyDescent="0.3">
      <c r="A580" s="111" t="s">
        <v>16</v>
      </c>
      <c r="B580" s="101">
        <f>SUM(B576:B579)</f>
        <v>11</v>
      </c>
      <c r="C580" s="114">
        <f>IF(B580=0,0,+B580/B580)</f>
        <v>1</v>
      </c>
      <c r="D580" s="101">
        <f>SUM(D576:D579)</f>
        <v>16</v>
      </c>
      <c r="E580" s="114">
        <f>+D580/D580</f>
        <v>1</v>
      </c>
      <c r="F580" s="101">
        <f>SUM(F576:F579)</f>
        <v>27</v>
      </c>
      <c r="G580" s="114">
        <f>+F580/F580</f>
        <v>1</v>
      </c>
      <c r="H580" s="183">
        <v>1</v>
      </c>
      <c r="I580" s="184">
        <v>1</v>
      </c>
      <c r="J580" s="185">
        <v>1</v>
      </c>
      <c r="K580" s="183">
        <v>1</v>
      </c>
      <c r="L580" s="184">
        <v>1</v>
      </c>
      <c r="M580" s="185">
        <v>1</v>
      </c>
      <c r="N580" s="183">
        <v>1</v>
      </c>
      <c r="O580" s="184">
        <v>1</v>
      </c>
      <c r="P580" s="185">
        <v>1</v>
      </c>
      <c r="Q580" s="183">
        <v>1</v>
      </c>
      <c r="R580" s="184">
        <v>1</v>
      </c>
      <c r="S580" s="185">
        <v>1</v>
      </c>
      <c r="T580" s="183">
        <v>1</v>
      </c>
      <c r="U580" s="184">
        <v>1</v>
      </c>
      <c r="V580" s="185">
        <v>1</v>
      </c>
      <c r="W580" s="183">
        <v>1</v>
      </c>
      <c r="X580" s="184">
        <v>1</v>
      </c>
      <c r="Y580" s="185">
        <v>1</v>
      </c>
      <c r="Z580" s="183">
        <v>1</v>
      </c>
      <c r="AA580" s="184">
        <v>1</v>
      </c>
      <c r="AB580" s="185">
        <v>1</v>
      </c>
      <c r="AC580" s="41"/>
      <c r="AF580" s="162"/>
    </row>
    <row r="581" spans="1:32" x14ac:dyDescent="0.2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</row>
    <row r="582" spans="1:32" x14ac:dyDescent="0.2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</row>
    <row r="583" spans="1:32" x14ac:dyDescent="0.2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</row>
    <row r="584" spans="1:32" ht="14.25" customHeight="1" x14ac:dyDescent="0.2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213" t="s">
        <v>176</v>
      </c>
      <c r="L584" s="213"/>
      <c r="M584" s="213"/>
      <c r="N584" s="213"/>
      <c r="O584" s="213"/>
      <c r="P584" s="213"/>
      <c r="Q584" s="213"/>
      <c r="R584" s="213"/>
    </row>
    <row r="585" spans="1:32" x14ac:dyDescent="0.2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213"/>
      <c r="L585" s="213"/>
      <c r="M585" s="213"/>
      <c r="N585" s="213"/>
      <c r="O585" s="213"/>
      <c r="P585" s="213"/>
      <c r="Q585" s="213"/>
      <c r="R585" s="213"/>
    </row>
    <row r="586" spans="1:32" ht="14.25" customHeight="1" x14ac:dyDescent="0.2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219" t="s">
        <v>7143</v>
      </c>
      <c r="L586" s="219"/>
      <c r="M586" s="219"/>
      <c r="N586" s="219"/>
      <c r="O586" s="219"/>
      <c r="P586" s="219"/>
      <c r="Q586" s="219"/>
      <c r="R586" s="219"/>
    </row>
    <row r="587" spans="1:32" x14ac:dyDescent="0.2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219"/>
      <c r="L587" s="219"/>
      <c r="M587" s="219"/>
      <c r="N587" s="219"/>
      <c r="O587" s="219"/>
      <c r="P587" s="219"/>
      <c r="Q587" s="219"/>
      <c r="R587" s="219"/>
    </row>
    <row r="588" spans="1:32" ht="14.25" customHeight="1" x14ac:dyDescent="0.2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215" t="s">
        <v>7144</v>
      </c>
      <c r="L588" s="215"/>
      <c r="M588" s="215"/>
      <c r="N588" s="215"/>
      <c r="O588" s="215"/>
      <c r="P588" s="215"/>
      <c r="Q588" s="215"/>
      <c r="R588" s="215"/>
    </row>
    <row r="589" spans="1:32" x14ac:dyDescent="0.2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215"/>
      <c r="L589" s="215"/>
      <c r="M589" s="215"/>
      <c r="N589" s="215"/>
      <c r="O589" s="215"/>
      <c r="P589" s="215"/>
      <c r="Q589" s="215"/>
      <c r="R589" s="215"/>
    </row>
    <row r="590" spans="1:32" x14ac:dyDescent="0.2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</row>
    <row r="591" spans="1:32" x14ac:dyDescent="0.2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</row>
    <row r="592" spans="1:32" x14ac:dyDescent="0.2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</row>
    <row r="593" spans="1:11" x14ac:dyDescent="0.2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</row>
    <row r="594" spans="1:11" x14ac:dyDescent="0.2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</row>
    <row r="595" spans="1:11" x14ac:dyDescent="0.2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</row>
    <row r="596" spans="1:11" x14ac:dyDescent="0.2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</row>
    <row r="597" spans="1:11" x14ac:dyDescent="0.2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</row>
    <row r="598" spans="1:11" x14ac:dyDescent="0.2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</row>
    <row r="599" spans="1:11" x14ac:dyDescent="0.2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</row>
    <row r="600" spans="1:11" x14ac:dyDescent="0.2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</row>
    <row r="601" spans="1:11" x14ac:dyDescent="0.2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</row>
    <row r="602" spans="1:11" x14ac:dyDescent="0.2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</row>
    <row r="603" spans="1:11" x14ac:dyDescent="0.2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</row>
    <row r="604" spans="1:11" x14ac:dyDescent="0.2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</row>
    <row r="605" spans="1:11" x14ac:dyDescent="0.2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</row>
    <row r="606" spans="1:11" x14ac:dyDescent="0.2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</row>
    <row r="607" spans="1:11" ht="15" thickBot="1" x14ac:dyDescent="0.2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</row>
    <row r="608" spans="1:11" ht="18.75" thickBot="1" x14ac:dyDescent="0.25">
      <c r="A608" s="240" t="s">
        <v>107</v>
      </c>
      <c r="B608" s="241"/>
      <c r="C608" s="241"/>
      <c r="D608" s="241"/>
      <c r="E608" s="241"/>
      <c r="F608" s="241"/>
      <c r="G608" s="242"/>
      <c r="H608" s="74"/>
      <c r="I608" s="74"/>
      <c r="J608" s="74"/>
      <c r="K608" s="74"/>
    </row>
    <row r="609" spans="1:32" ht="15.75" thickBot="1" x14ac:dyDescent="0.3">
      <c r="A609" s="28"/>
      <c r="B609" s="234" t="str">
        <f>+B73</f>
        <v>Successful</v>
      </c>
      <c r="C609" s="235"/>
      <c r="D609" s="236" t="str">
        <f>+D73</f>
        <v>Unsuccessful</v>
      </c>
      <c r="E609" s="237"/>
      <c r="F609" s="238" t="s">
        <v>16</v>
      </c>
      <c r="G609" s="239"/>
      <c r="H609" s="206">
        <f>+H574</f>
        <v>2021</v>
      </c>
      <c r="I609" s="207"/>
      <c r="J609" s="208"/>
      <c r="K609" s="206">
        <f>+K574</f>
        <v>2020</v>
      </c>
      <c r="L609" s="207"/>
      <c r="M609" s="208"/>
      <c r="N609" s="206">
        <f>+N574</f>
        <v>2019</v>
      </c>
      <c r="O609" s="207"/>
      <c r="P609" s="208"/>
      <c r="Q609" s="206">
        <f>+Q574</f>
        <v>2018</v>
      </c>
      <c r="R609" s="207"/>
      <c r="S609" s="208"/>
      <c r="T609" s="206">
        <f>+T574</f>
        <v>2017</v>
      </c>
      <c r="U609" s="207"/>
      <c r="V609" s="208"/>
      <c r="W609" s="209">
        <f>+W574</f>
        <v>2016</v>
      </c>
      <c r="X609" s="210"/>
      <c r="Y609" s="211"/>
      <c r="Z609" s="209">
        <f>+Z574</f>
        <v>2015</v>
      </c>
      <c r="AA609" s="210"/>
      <c r="AB609" s="211"/>
      <c r="AC609" s="165"/>
      <c r="AF609" s="162"/>
    </row>
    <row r="610" spans="1:32" ht="29.25" customHeight="1" thickBot="1" x14ac:dyDescent="0.25">
      <c r="A610" s="28"/>
      <c r="B610" s="29" t="s">
        <v>37</v>
      </c>
      <c r="C610" s="30" t="s">
        <v>38</v>
      </c>
      <c r="D610" s="29" t="s">
        <v>37</v>
      </c>
      <c r="E610" s="30" t="s">
        <v>38</v>
      </c>
      <c r="F610" s="29" t="s">
        <v>37</v>
      </c>
      <c r="G610" s="30" t="s">
        <v>38</v>
      </c>
      <c r="H610" s="186" t="s">
        <v>132</v>
      </c>
      <c r="I610" s="187" t="s">
        <v>133</v>
      </c>
      <c r="J610" s="44" t="s">
        <v>16</v>
      </c>
      <c r="K610" s="186" t="s">
        <v>132</v>
      </c>
      <c r="L610" s="187" t="s">
        <v>133</v>
      </c>
      <c r="M610" s="44" t="s">
        <v>16</v>
      </c>
      <c r="N610" s="186" t="s">
        <v>132</v>
      </c>
      <c r="O610" s="187" t="s">
        <v>133</v>
      </c>
      <c r="P610" s="44" t="s">
        <v>16</v>
      </c>
      <c r="Q610" s="186" t="s">
        <v>132</v>
      </c>
      <c r="R610" s="187" t="s">
        <v>133</v>
      </c>
      <c r="S610" s="44" t="s">
        <v>16</v>
      </c>
      <c r="T610" s="186" t="s">
        <v>132</v>
      </c>
      <c r="U610" s="187" t="s">
        <v>133</v>
      </c>
      <c r="V610" s="44" t="s">
        <v>16</v>
      </c>
      <c r="W610" s="186" t="s">
        <v>132</v>
      </c>
      <c r="X610" s="187" t="s">
        <v>133</v>
      </c>
      <c r="Y610" s="44" t="s">
        <v>16</v>
      </c>
      <c r="Z610" s="186" t="s">
        <v>132</v>
      </c>
      <c r="AA610" s="187" t="s">
        <v>133</v>
      </c>
      <c r="AB610" s="44" t="s">
        <v>16</v>
      </c>
    </row>
    <row r="611" spans="1:32" ht="27.75" customHeight="1" x14ac:dyDescent="0.2">
      <c r="A611" s="98" t="s">
        <v>134</v>
      </c>
      <c r="B611" s="31">
        <f>COUNTIFS(DATA!$Y$3:$Y$7183,1,DATA!$D$3:$D$7183,260)</f>
        <v>2</v>
      </c>
      <c r="C611" s="35">
        <f>IF(B615=0,0,+B611/B615)</f>
        <v>0.18181818181818182</v>
      </c>
      <c r="D611" s="31">
        <f>COUNTIFS(DATA!$Y$3:$Y$7183,1,DATA!$D$3:$D$7183,280)</f>
        <v>1</v>
      </c>
      <c r="E611" s="35">
        <f>+D611/D615</f>
        <v>6.25E-2</v>
      </c>
      <c r="F611" s="31">
        <f>+D611+B611</f>
        <v>3</v>
      </c>
      <c r="G611" s="35">
        <f>+F611/F615</f>
        <v>0.1111111111111111</v>
      </c>
      <c r="H611" s="181">
        <v>0.18181818181818182</v>
      </c>
      <c r="I611" s="180">
        <v>6.25E-2</v>
      </c>
      <c r="J611" s="182">
        <v>0.1111111111111111</v>
      </c>
      <c r="K611" s="181">
        <v>0</v>
      </c>
      <c r="L611" s="180">
        <v>0</v>
      </c>
      <c r="M611" s="182">
        <v>0</v>
      </c>
      <c r="N611" s="181">
        <v>0.2857142857142857</v>
      </c>
      <c r="O611" s="180">
        <v>0.04</v>
      </c>
      <c r="P611" s="182">
        <v>9.375E-2</v>
      </c>
      <c r="Q611" s="181">
        <v>0.13</v>
      </c>
      <c r="R611" s="180">
        <v>0.13</v>
      </c>
      <c r="S611" s="182">
        <v>0.13</v>
      </c>
      <c r="T611" s="181">
        <v>0.2</v>
      </c>
      <c r="U611" s="180">
        <v>0.17241379310344829</v>
      </c>
      <c r="V611" s="182">
        <v>0.18367346938775511</v>
      </c>
      <c r="W611" s="181">
        <v>0</v>
      </c>
      <c r="X611" s="180">
        <v>0.10714285714285714</v>
      </c>
      <c r="Y611" s="182">
        <v>7.3170731707317069E-2</v>
      </c>
      <c r="Z611" s="181">
        <v>0</v>
      </c>
      <c r="AA611" s="180">
        <v>0.05</v>
      </c>
      <c r="AB611" s="182">
        <v>3.2258064516129031E-2</v>
      </c>
    </row>
    <row r="612" spans="1:32" ht="31.5" customHeight="1" x14ac:dyDescent="0.2">
      <c r="A612" s="99" t="s">
        <v>135</v>
      </c>
      <c r="B612" s="31">
        <f>COUNTIFS(DATA!$Y$3:$Y$7183,2,DATA!$D$3:$D$7183,260)</f>
        <v>8</v>
      </c>
      <c r="C612" s="36">
        <f>IF(B615=0,0,+B612/B615)</f>
        <v>0.72727272727272729</v>
      </c>
      <c r="D612" s="42">
        <f>COUNTIFS(DATA!$Y$3:$Y$7183,2,DATA!$D$3:$D$7183,280)</f>
        <v>14</v>
      </c>
      <c r="E612" s="36">
        <f>+D612/D615</f>
        <v>0.875</v>
      </c>
      <c r="F612" s="42">
        <f t="shared" ref="F612:F614" si="98">+D612+B612</f>
        <v>22</v>
      </c>
      <c r="G612" s="36">
        <f>+F612/F615</f>
        <v>0.81481481481481477</v>
      </c>
      <c r="H612" s="181">
        <v>0.72727272727272729</v>
      </c>
      <c r="I612" s="180">
        <v>0.75</v>
      </c>
      <c r="J612" s="182">
        <v>0.7407407407407407</v>
      </c>
      <c r="K612" s="181">
        <v>0.83333333333333337</v>
      </c>
      <c r="L612" s="180">
        <v>0.7857142857142857</v>
      </c>
      <c r="M612" s="182">
        <v>0.8</v>
      </c>
      <c r="N612" s="181">
        <v>0.5714285714285714</v>
      </c>
      <c r="O612" s="180">
        <v>0.68</v>
      </c>
      <c r="P612" s="182">
        <v>0.65625</v>
      </c>
      <c r="Q612" s="181">
        <v>0.69</v>
      </c>
      <c r="R612" s="180">
        <v>0.79</v>
      </c>
      <c r="S612" s="182">
        <v>0.75</v>
      </c>
      <c r="T612" s="181">
        <v>0.7</v>
      </c>
      <c r="U612" s="180">
        <v>0.82758620689655171</v>
      </c>
      <c r="V612" s="182">
        <v>0.77551020408163263</v>
      </c>
      <c r="W612" s="181">
        <v>0.92307692307692313</v>
      </c>
      <c r="X612" s="180">
        <v>0.75</v>
      </c>
      <c r="Y612" s="182">
        <v>0.80487804878048785</v>
      </c>
      <c r="Z612" s="181">
        <v>0.81818181818181823</v>
      </c>
      <c r="AA612" s="180">
        <v>0.95</v>
      </c>
      <c r="AB612" s="182">
        <v>0.90322580645161288</v>
      </c>
    </row>
    <row r="613" spans="1:32" x14ac:dyDescent="0.2">
      <c r="A613" s="92" t="s">
        <v>94</v>
      </c>
      <c r="B613" s="31">
        <f>COUNTIFS(DATA!$Y$3:$Y$7183,"3",DATA!$D$3:$D$7183,260)</f>
        <v>1</v>
      </c>
      <c r="C613" s="36">
        <f>IF(B615=0,0,+B613/B615)</f>
        <v>9.0909090909090912E-2</v>
      </c>
      <c r="D613" s="42">
        <f>COUNTIFS(DATA!$Y$3:$Y$7183,"3",DATA!$D$3:$D$7183,280)</f>
        <v>1</v>
      </c>
      <c r="E613" s="36">
        <f>+D613/D615</f>
        <v>6.25E-2</v>
      </c>
      <c r="F613" s="42">
        <f t="shared" si="98"/>
        <v>2</v>
      </c>
      <c r="G613" s="36">
        <f>+F613/F615</f>
        <v>7.407407407407407E-2</v>
      </c>
      <c r="H613" s="181">
        <v>9.0909090909090912E-2</v>
      </c>
      <c r="I613" s="180">
        <v>0.125</v>
      </c>
      <c r="J613" s="182">
        <v>0.1111111111111111</v>
      </c>
      <c r="K613" s="181">
        <v>0.16666666666666666</v>
      </c>
      <c r="L613" s="180">
        <v>0.21428571428571427</v>
      </c>
      <c r="M613" s="182">
        <v>0.2</v>
      </c>
      <c r="N613" s="181">
        <v>0.14285714285714285</v>
      </c>
      <c r="O613" s="180">
        <v>0.2</v>
      </c>
      <c r="P613" s="182">
        <v>0.1875</v>
      </c>
      <c r="Q613" s="181">
        <v>0.13</v>
      </c>
      <c r="R613" s="180">
        <v>0.08</v>
      </c>
      <c r="S613" s="182">
        <v>0.1</v>
      </c>
      <c r="T613" s="181">
        <v>0.05</v>
      </c>
      <c r="U613" s="180">
        <v>0</v>
      </c>
      <c r="V613" s="182">
        <v>2.0408163265306121E-2</v>
      </c>
      <c r="W613" s="181">
        <v>7.6923076923076927E-2</v>
      </c>
      <c r="X613" s="180">
        <v>0.10714285714285714</v>
      </c>
      <c r="Y613" s="182">
        <v>9.7560975609756101E-2</v>
      </c>
      <c r="Z613" s="181">
        <v>0.18181818181818182</v>
      </c>
      <c r="AA613" s="180">
        <v>0</v>
      </c>
      <c r="AB613" s="182">
        <v>6.4516129032258063E-2</v>
      </c>
      <c r="AC613" s="74"/>
      <c r="AF613" s="162"/>
    </row>
    <row r="614" spans="1:32" ht="15" thickBot="1" x14ac:dyDescent="0.25">
      <c r="A614" s="93" t="s">
        <v>39</v>
      </c>
      <c r="B614" s="31">
        <f>COUNTIFS(DATA!$Y$3:$Y$7183,"4",DATA!$D$3:$D$7183,260)</f>
        <v>0</v>
      </c>
      <c r="C614" s="36">
        <f>IF(B615=0,0,+B614/B615)</f>
        <v>0</v>
      </c>
      <c r="D614" s="42">
        <f>COUNTIFS(DATA!$Y$3:$Y$7183,"4",DATA!$D$3:$D$7183,280)</f>
        <v>0</v>
      </c>
      <c r="E614" s="36">
        <f>+D614/D615</f>
        <v>0</v>
      </c>
      <c r="F614" s="42">
        <f t="shared" si="98"/>
        <v>0</v>
      </c>
      <c r="G614" s="36">
        <f>+F614/F615</f>
        <v>0</v>
      </c>
      <c r="H614" s="181">
        <v>0</v>
      </c>
      <c r="I614" s="180">
        <v>6.25E-2</v>
      </c>
      <c r="J614" s="182">
        <v>3.7037037037037035E-2</v>
      </c>
      <c r="K614" s="181">
        <v>0</v>
      </c>
      <c r="L614" s="180">
        <v>0</v>
      </c>
      <c r="M614" s="182">
        <v>0</v>
      </c>
      <c r="N614" s="181">
        <v>0</v>
      </c>
      <c r="O614" s="180">
        <v>0.08</v>
      </c>
      <c r="P614" s="182">
        <v>6.25E-2</v>
      </c>
      <c r="Q614" s="181">
        <v>0.06</v>
      </c>
      <c r="R614" s="180">
        <v>0</v>
      </c>
      <c r="S614" s="182">
        <v>0.03</v>
      </c>
      <c r="T614" s="181">
        <v>0.05</v>
      </c>
      <c r="U614" s="180">
        <v>0</v>
      </c>
      <c r="V614" s="182">
        <v>2.0408163265306121E-2</v>
      </c>
      <c r="W614" s="181">
        <v>0</v>
      </c>
      <c r="X614" s="180">
        <v>3.5714285714285712E-2</v>
      </c>
      <c r="Y614" s="182">
        <v>2.4390243902439025E-2</v>
      </c>
      <c r="Z614" s="181">
        <v>0</v>
      </c>
      <c r="AA614" s="180">
        <v>0</v>
      </c>
      <c r="AB614" s="182">
        <v>0</v>
      </c>
      <c r="AC614" s="74"/>
      <c r="AF614" s="162"/>
    </row>
    <row r="615" spans="1:32" ht="15.75" thickBot="1" x14ac:dyDescent="0.3">
      <c r="A615" s="111" t="s">
        <v>16</v>
      </c>
      <c r="B615" s="101">
        <f>SUM(B611:B614)</f>
        <v>11</v>
      </c>
      <c r="C615" s="114">
        <f>IF(B615=0,0,+B615/B615)</f>
        <v>1</v>
      </c>
      <c r="D615" s="101">
        <f>SUM(D611:D614)</f>
        <v>16</v>
      </c>
      <c r="E615" s="114">
        <f>+D615/D615</f>
        <v>1</v>
      </c>
      <c r="F615" s="101">
        <f>SUM(F611:F614)</f>
        <v>27</v>
      </c>
      <c r="G615" s="114">
        <f>+F615/F615</f>
        <v>1</v>
      </c>
      <c r="H615" s="183">
        <v>1</v>
      </c>
      <c r="I615" s="184">
        <v>1</v>
      </c>
      <c r="J615" s="185">
        <v>1</v>
      </c>
      <c r="K615" s="183">
        <v>1</v>
      </c>
      <c r="L615" s="184">
        <v>1</v>
      </c>
      <c r="M615" s="185">
        <v>1</v>
      </c>
      <c r="N615" s="183">
        <v>1</v>
      </c>
      <c r="O615" s="184">
        <v>1</v>
      </c>
      <c r="P615" s="185">
        <v>1</v>
      </c>
      <c r="Q615" s="183">
        <v>1</v>
      </c>
      <c r="R615" s="184">
        <v>1</v>
      </c>
      <c r="S615" s="185">
        <v>1</v>
      </c>
      <c r="T615" s="183">
        <v>1</v>
      </c>
      <c r="U615" s="184">
        <v>1</v>
      </c>
      <c r="V615" s="185">
        <v>1</v>
      </c>
      <c r="W615" s="183">
        <v>1</v>
      </c>
      <c r="X615" s="184">
        <v>1</v>
      </c>
      <c r="Y615" s="185">
        <v>1</v>
      </c>
      <c r="Z615" s="183">
        <v>1</v>
      </c>
      <c r="AA615" s="184">
        <v>1</v>
      </c>
      <c r="AB615" s="185">
        <v>1</v>
      </c>
      <c r="AC615" s="41"/>
      <c r="AF615" s="162"/>
    </row>
    <row r="616" spans="1:32" x14ac:dyDescent="0.2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</row>
    <row r="617" spans="1:32" x14ac:dyDescent="0.2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</row>
    <row r="618" spans="1:32" x14ac:dyDescent="0.2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</row>
    <row r="619" spans="1:32" ht="14.25" customHeight="1" x14ac:dyDescent="0.2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204" t="s">
        <v>7099</v>
      </c>
      <c r="L619" s="205"/>
      <c r="M619" s="205"/>
      <c r="N619" s="205"/>
      <c r="O619" s="205"/>
      <c r="P619" s="205"/>
      <c r="Q619" s="205"/>
      <c r="R619" s="205"/>
    </row>
    <row r="620" spans="1:32" x14ac:dyDescent="0.2">
      <c r="A620" s="41"/>
      <c r="B620" s="41"/>
      <c r="C620" s="41"/>
      <c r="D620" s="41"/>
      <c r="E620" s="41"/>
      <c r="F620" s="41"/>
      <c r="G620" s="41"/>
      <c r="H620" s="41"/>
      <c r="I620" s="41"/>
      <c r="J620" s="41"/>
    </row>
    <row r="621" spans="1:32" x14ac:dyDescent="0.2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221" t="s">
        <v>7145</v>
      </c>
      <c r="L621" s="219"/>
      <c r="M621" s="219"/>
      <c r="N621" s="219"/>
      <c r="O621" s="219"/>
      <c r="P621" s="219"/>
      <c r="Q621" s="219"/>
      <c r="R621" s="219"/>
    </row>
    <row r="622" spans="1:32" x14ac:dyDescent="0.2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</row>
    <row r="623" spans="1:32" ht="14.25" customHeight="1" x14ac:dyDescent="0.2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215" t="s">
        <v>7146</v>
      </c>
      <c r="L623" s="215"/>
      <c r="M623" s="215"/>
      <c r="N623" s="215"/>
      <c r="O623" s="215"/>
      <c r="P623" s="215"/>
      <c r="Q623" s="215"/>
      <c r="R623" s="215"/>
    </row>
    <row r="624" spans="1:32" x14ac:dyDescent="0.2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215"/>
      <c r="L624" s="215"/>
      <c r="M624" s="215"/>
      <c r="N624" s="215"/>
      <c r="O624" s="215"/>
      <c r="P624" s="215"/>
      <c r="Q624" s="215"/>
      <c r="R624" s="215"/>
    </row>
    <row r="625" spans="1:11" x14ac:dyDescent="0.2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</row>
    <row r="626" spans="1:11" x14ac:dyDescent="0.2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</row>
    <row r="627" spans="1:11" x14ac:dyDescent="0.2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</row>
    <row r="628" spans="1:11" x14ac:dyDescent="0.2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</row>
    <row r="629" spans="1:11" x14ac:dyDescent="0.2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</row>
    <row r="630" spans="1:11" x14ac:dyDescent="0.2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</row>
    <row r="631" spans="1:11" x14ac:dyDescent="0.2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</row>
    <row r="632" spans="1:11" x14ac:dyDescent="0.2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</row>
    <row r="633" spans="1:11" x14ac:dyDescent="0.2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</row>
    <row r="634" spans="1:11" x14ac:dyDescent="0.2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</row>
    <row r="635" spans="1:11" x14ac:dyDescent="0.2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</row>
    <row r="636" spans="1:11" x14ac:dyDescent="0.2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</row>
    <row r="637" spans="1:11" x14ac:dyDescent="0.2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</row>
    <row r="638" spans="1:11" x14ac:dyDescent="0.2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</row>
    <row r="639" spans="1:11" x14ac:dyDescent="0.2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</row>
    <row r="640" spans="1:11" x14ac:dyDescent="0.2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</row>
    <row r="641" spans="1:32" x14ac:dyDescent="0.2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</row>
    <row r="642" spans="1:32" ht="15" thickBot="1" x14ac:dyDescent="0.2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</row>
    <row r="643" spans="1:32" ht="35.25" customHeight="1" thickBot="1" x14ac:dyDescent="0.25">
      <c r="A643" s="240" t="s">
        <v>108</v>
      </c>
      <c r="B643" s="241"/>
      <c r="C643" s="241"/>
      <c r="D643" s="241"/>
      <c r="E643" s="241"/>
      <c r="F643" s="241"/>
      <c r="G643" s="242"/>
      <c r="H643" s="74"/>
      <c r="I643" s="74"/>
      <c r="J643" s="74"/>
      <c r="K643" s="74"/>
    </row>
    <row r="644" spans="1:32" ht="15.75" thickBot="1" x14ac:dyDescent="0.3">
      <c r="A644" s="28"/>
      <c r="B644" s="234" t="str">
        <f>+B73</f>
        <v>Successful</v>
      </c>
      <c r="C644" s="235"/>
      <c r="D644" s="236" t="str">
        <f>+D73</f>
        <v>Unsuccessful</v>
      </c>
      <c r="E644" s="237"/>
      <c r="F644" s="238" t="s">
        <v>16</v>
      </c>
      <c r="G644" s="239"/>
      <c r="H644" s="206">
        <f>+H609</f>
        <v>2021</v>
      </c>
      <c r="I644" s="207"/>
      <c r="J644" s="208"/>
      <c r="K644" s="206">
        <f>+K609</f>
        <v>2020</v>
      </c>
      <c r="L644" s="207"/>
      <c r="M644" s="208"/>
      <c r="N644" s="206">
        <f>+N609</f>
        <v>2019</v>
      </c>
      <c r="O644" s="207"/>
      <c r="P644" s="208"/>
      <c r="Q644" s="206">
        <f>+Q609</f>
        <v>2018</v>
      </c>
      <c r="R644" s="207"/>
      <c r="S644" s="208"/>
      <c r="T644" s="206">
        <f>+T609</f>
        <v>2017</v>
      </c>
      <c r="U644" s="207"/>
      <c r="V644" s="208"/>
      <c r="W644" s="209">
        <f>+W609</f>
        <v>2016</v>
      </c>
      <c r="X644" s="210"/>
      <c r="Y644" s="211"/>
      <c r="Z644" s="209">
        <f>+Z609</f>
        <v>2015</v>
      </c>
      <c r="AA644" s="210"/>
      <c r="AB644" s="211"/>
      <c r="AC644" s="165"/>
      <c r="AF644" s="162"/>
    </row>
    <row r="645" spans="1:32" ht="29.25" customHeight="1" thickBot="1" x14ac:dyDescent="0.25">
      <c r="A645" s="28"/>
      <c r="B645" s="29" t="s">
        <v>37</v>
      </c>
      <c r="C645" s="30" t="s">
        <v>38</v>
      </c>
      <c r="D645" s="29" t="s">
        <v>37</v>
      </c>
      <c r="E645" s="30" t="s">
        <v>38</v>
      </c>
      <c r="F645" s="29" t="s">
        <v>37</v>
      </c>
      <c r="G645" s="30" t="s">
        <v>38</v>
      </c>
      <c r="H645" s="186" t="s">
        <v>132</v>
      </c>
      <c r="I645" s="187" t="s">
        <v>133</v>
      </c>
      <c r="J645" s="44" t="s">
        <v>16</v>
      </c>
      <c r="K645" s="186" t="s">
        <v>132</v>
      </c>
      <c r="L645" s="187" t="s">
        <v>133</v>
      </c>
      <c r="M645" s="44" t="s">
        <v>16</v>
      </c>
      <c r="N645" s="186" t="s">
        <v>132</v>
      </c>
      <c r="O645" s="187" t="s">
        <v>133</v>
      </c>
      <c r="P645" s="44" t="s">
        <v>16</v>
      </c>
      <c r="Q645" s="186" t="s">
        <v>132</v>
      </c>
      <c r="R645" s="187" t="s">
        <v>133</v>
      </c>
      <c r="S645" s="44" t="s">
        <v>16</v>
      </c>
      <c r="T645" s="186" t="s">
        <v>132</v>
      </c>
      <c r="U645" s="187" t="s">
        <v>133</v>
      </c>
      <c r="V645" s="44" t="s">
        <v>16</v>
      </c>
      <c r="W645" s="186" t="s">
        <v>132</v>
      </c>
      <c r="X645" s="187" t="s">
        <v>133</v>
      </c>
      <c r="Y645" s="44" t="s">
        <v>16</v>
      </c>
      <c r="Z645" s="186" t="s">
        <v>132</v>
      </c>
      <c r="AA645" s="187" t="s">
        <v>133</v>
      </c>
      <c r="AB645" s="44" t="s">
        <v>16</v>
      </c>
    </row>
    <row r="646" spans="1:32" x14ac:dyDescent="0.2">
      <c r="A646" s="98" t="s">
        <v>134</v>
      </c>
      <c r="B646" s="31">
        <f>COUNTIFS(DATA!$Z$3:$Z$7183,1,DATA!$D$3:$D$7183,260)</f>
        <v>2</v>
      </c>
      <c r="C646" s="35">
        <f>IF(B650=0,0,+B646/B650)</f>
        <v>0.18181818181818182</v>
      </c>
      <c r="D646" s="31">
        <f>COUNTIFS(DATA!$Z$3:$Z$7183,1,DATA!$D$3:$D$7183,280)</f>
        <v>0</v>
      </c>
      <c r="E646" s="35">
        <f>+D646/D650</f>
        <v>0</v>
      </c>
      <c r="F646" s="31">
        <f>+D646+B646</f>
        <v>2</v>
      </c>
      <c r="G646" s="35">
        <f>+F646/F650</f>
        <v>7.407407407407407E-2</v>
      </c>
      <c r="H646" s="181">
        <v>0</v>
      </c>
      <c r="I646" s="180">
        <v>6.25E-2</v>
      </c>
      <c r="J646" s="182">
        <v>3.7037037037037035E-2</v>
      </c>
      <c r="K646" s="181">
        <v>0</v>
      </c>
      <c r="L646" s="180">
        <v>0</v>
      </c>
      <c r="M646" s="182">
        <v>0</v>
      </c>
      <c r="N646" s="181">
        <v>0</v>
      </c>
      <c r="O646" s="180">
        <v>0.08</v>
      </c>
      <c r="P646" s="182">
        <v>6.25E-2</v>
      </c>
      <c r="Q646" s="181">
        <v>0.06</v>
      </c>
      <c r="R646" s="180">
        <v>0.04</v>
      </c>
      <c r="S646" s="182">
        <v>0.05</v>
      </c>
      <c r="T646" s="181">
        <v>0.1</v>
      </c>
      <c r="U646" s="180">
        <v>0.17241379310344829</v>
      </c>
      <c r="V646" s="182">
        <v>0.14285714285714285</v>
      </c>
      <c r="W646" s="181">
        <v>0</v>
      </c>
      <c r="X646" s="180">
        <v>7.1428571428571425E-2</v>
      </c>
      <c r="Y646" s="182">
        <v>4.878048780487805E-2</v>
      </c>
      <c r="Z646" s="181">
        <v>9.0909090909090912E-2</v>
      </c>
      <c r="AA646" s="180">
        <v>0</v>
      </c>
      <c r="AB646" s="182">
        <v>3.2258064516129031E-2</v>
      </c>
    </row>
    <row r="647" spans="1:32" ht="28.5" customHeight="1" x14ac:dyDescent="0.2">
      <c r="A647" s="99" t="s">
        <v>135</v>
      </c>
      <c r="B647" s="31">
        <f>COUNTIFS(DATA!$Z$3:$Z$7183,2,DATA!$D$3:$D$7183,260)</f>
        <v>8</v>
      </c>
      <c r="C647" s="35">
        <f>IF(B650=0,0,+B647/B650)</f>
        <v>0.72727272727272729</v>
      </c>
      <c r="D647" s="42">
        <f>COUNTIFS(DATA!$Z$3:$Z$7183,2,DATA!$D$3:$D$7183,280)</f>
        <v>15</v>
      </c>
      <c r="E647" s="35">
        <f>+D647/D650</f>
        <v>0.9375</v>
      </c>
      <c r="F647" s="42">
        <f t="shared" ref="F647:F649" si="99">+D647+B647</f>
        <v>23</v>
      </c>
      <c r="G647" s="35">
        <f>+F647/F650</f>
        <v>0.85185185185185186</v>
      </c>
      <c r="H647" s="181">
        <v>0.63636363636363635</v>
      </c>
      <c r="I647" s="180">
        <v>0.6875</v>
      </c>
      <c r="J647" s="182">
        <v>0.66666666666666663</v>
      </c>
      <c r="K647" s="181">
        <v>0.83333333333333337</v>
      </c>
      <c r="L647" s="180">
        <v>0.7857142857142857</v>
      </c>
      <c r="M647" s="182">
        <v>0.8</v>
      </c>
      <c r="N647" s="181">
        <v>0.8571428571428571</v>
      </c>
      <c r="O647" s="180">
        <v>0.64</v>
      </c>
      <c r="P647" s="182">
        <v>0.6875</v>
      </c>
      <c r="Q647" s="181">
        <v>0.81</v>
      </c>
      <c r="R647" s="180">
        <v>0.88</v>
      </c>
      <c r="S647" s="182">
        <v>0.85</v>
      </c>
      <c r="T647" s="181">
        <v>0.8</v>
      </c>
      <c r="U647" s="180">
        <v>0.75862068965517238</v>
      </c>
      <c r="V647" s="182">
        <v>0.77551020408163263</v>
      </c>
      <c r="W647" s="181">
        <v>0.84615384615384615</v>
      </c>
      <c r="X647" s="180">
        <v>0.75</v>
      </c>
      <c r="Y647" s="182">
        <v>0.78048780487804881</v>
      </c>
      <c r="Z647" s="181">
        <v>0.72727272727272729</v>
      </c>
      <c r="AA647" s="180">
        <v>1</v>
      </c>
      <c r="AB647" s="182">
        <v>0.90322580645161288</v>
      </c>
    </row>
    <row r="648" spans="1:32" ht="28.5" customHeight="1" x14ac:dyDescent="0.2">
      <c r="A648" s="92" t="s">
        <v>94</v>
      </c>
      <c r="B648" s="31">
        <f>COUNTIFS(DATA!$Z$3:$Z$7183,"3",DATA!$D$3:$D$7183,260)</f>
        <v>1</v>
      </c>
      <c r="C648" s="35">
        <f>IF(B650=0,0,+B648/B650)</f>
        <v>9.0909090909090912E-2</v>
      </c>
      <c r="D648" s="42">
        <f>COUNTIFS(DATA!$Z$3:$Z$7183,"3",DATA!$D$3:$D$7183,280)</f>
        <v>1</v>
      </c>
      <c r="E648" s="35">
        <f>+D648/D650</f>
        <v>6.25E-2</v>
      </c>
      <c r="F648" s="42">
        <f t="shared" si="99"/>
        <v>2</v>
      </c>
      <c r="G648" s="35">
        <f>+F648/F650</f>
        <v>7.407407407407407E-2</v>
      </c>
      <c r="H648" s="181">
        <v>0.36363636363636365</v>
      </c>
      <c r="I648" s="180">
        <v>0.1875</v>
      </c>
      <c r="J648" s="182">
        <v>0.25925925925925924</v>
      </c>
      <c r="K648" s="181">
        <v>0.16666666666666666</v>
      </c>
      <c r="L648" s="180">
        <v>0.21428571428571427</v>
      </c>
      <c r="M648" s="182">
        <v>0.2</v>
      </c>
      <c r="N648" s="181">
        <v>0.14285714285714285</v>
      </c>
      <c r="O648" s="180">
        <v>0.2</v>
      </c>
      <c r="P648" s="182">
        <v>0.1875</v>
      </c>
      <c r="Q648" s="181">
        <v>0.13</v>
      </c>
      <c r="R648" s="180">
        <v>0.08</v>
      </c>
      <c r="S648" s="182">
        <v>0.1</v>
      </c>
      <c r="T648" s="181">
        <v>0.05</v>
      </c>
      <c r="U648" s="180">
        <v>6.8965517241379309E-2</v>
      </c>
      <c r="V648" s="182">
        <v>6.1224489795918366E-2</v>
      </c>
      <c r="W648" s="181">
        <v>0.15384615384615385</v>
      </c>
      <c r="X648" s="180">
        <v>0.14285714285714285</v>
      </c>
      <c r="Y648" s="182">
        <v>0.14634146341463414</v>
      </c>
      <c r="Z648" s="181">
        <v>0.18181818181818182</v>
      </c>
      <c r="AA648" s="180">
        <v>0</v>
      </c>
      <c r="AB648" s="182">
        <v>6.4516129032258063E-2</v>
      </c>
    </row>
    <row r="649" spans="1:32" ht="15" thickBot="1" x14ac:dyDescent="0.25">
      <c r="A649" s="94" t="s">
        <v>39</v>
      </c>
      <c r="B649" s="31">
        <f>COUNTIFS(DATA!$Z$3:$Z$7183,"4",DATA!$D$3:$D$7183,260,DATA!$I$3:$I$7183,"D")</f>
        <v>0</v>
      </c>
      <c r="C649" s="35">
        <f>IF(B650=0,0,+B649/B650)</f>
        <v>0</v>
      </c>
      <c r="D649" s="21">
        <f>COUNTIFS(DATA!$Z$3:$Z$7183,"4",DATA!$D$3:$D$7183,280,DATA!$I$3:$I$7183,"D")</f>
        <v>0</v>
      </c>
      <c r="E649" s="35">
        <f>+D649/D650</f>
        <v>0</v>
      </c>
      <c r="F649" s="21">
        <f t="shared" si="99"/>
        <v>0</v>
      </c>
      <c r="G649" s="35">
        <f>+F649/F650</f>
        <v>0</v>
      </c>
      <c r="H649" s="181">
        <v>0</v>
      </c>
      <c r="I649" s="180">
        <v>6.25E-2</v>
      </c>
      <c r="J649" s="182">
        <v>3.7037037037037035E-2</v>
      </c>
      <c r="K649" s="181">
        <v>0</v>
      </c>
      <c r="L649" s="180">
        <v>0</v>
      </c>
      <c r="M649" s="182">
        <v>0</v>
      </c>
      <c r="N649" s="181">
        <v>0</v>
      </c>
      <c r="O649" s="180">
        <v>0.08</v>
      </c>
      <c r="P649" s="182">
        <v>6.25E-2</v>
      </c>
      <c r="Q649" s="181">
        <v>0</v>
      </c>
      <c r="R649" s="180">
        <v>0</v>
      </c>
      <c r="S649" s="182">
        <v>0</v>
      </c>
      <c r="T649" s="181">
        <v>0.05</v>
      </c>
      <c r="U649" s="180">
        <v>0</v>
      </c>
      <c r="V649" s="182">
        <v>2.0408163265306121E-2</v>
      </c>
      <c r="W649" s="181">
        <v>0</v>
      </c>
      <c r="X649" s="180">
        <v>3.5714285714285712E-2</v>
      </c>
      <c r="Y649" s="182">
        <v>2.4390243902439025E-2</v>
      </c>
      <c r="Z649" s="181">
        <v>0</v>
      </c>
      <c r="AA649" s="180">
        <v>0</v>
      </c>
      <c r="AB649" s="182">
        <v>0</v>
      </c>
      <c r="AC649" s="74"/>
      <c r="AF649" s="162"/>
    </row>
    <row r="650" spans="1:32" ht="15.75" thickBot="1" x14ac:dyDescent="0.3">
      <c r="A650" s="111" t="s">
        <v>16</v>
      </c>
      <c r="B650" s="101">
        <f>SUM(B646:B649)</f>
        <v>11</v>
      </c>
      <c r="C650" s="114">
        <f>IF(B650=0,0,+B650/B650)</f>
        <v>1</v>
      </c>
      <c r="D650" s="101">
        <f>SUM(D646:D649)</f>
        <v>16</v>
      </c>
      <c r="E650" s="114">
        <f>+D650/D650</f>
        <v>1</v>
      </c>
      <c r="F650" s="101">
        <f>SUM(F646:F649)</f>
        <v>27</v>
      </c>
      <c r="G650" s="114">
        <f>+F650/F650</f>
        <v>1</v>
      </c>
      <c r="H650" s="183">
        <v>1</v>
      </c>
      <c r="I650" s="184">
        <v>1</v>
      </c>
      <c r="J650" s="185">
        <v>1</v>
      </c>
      <c r="K650" s="183">
        <v>1</v>
      </c>
      <c r="L650" s="184">
        <v>1</v>
      </c>
      <c r="M650" s="185">
        <v>1</v>
      </c>
      <c r="N650" s="183">
        <v>1</v>
      </c>
      <c r="O650" s="184">
        <v>1</v>
      </c>
      <c r="P650" s="185">
        <v>1</v>
      </c>
      <c r="Q650" s="183">
        <v>1</v>
      </c>
      <c r="R650" s="184">
        <v>1</v>
      </c>
      <c r="S650" s="185">
        <v>1</v>
      </c>
      <c r="T650" s="183">
        <v>1</v>
      </c>
      <c r="U650" s="184">
        <v>1</v>
      </c>
      <c r="V650" s="185">
        <v>1</v>
      </c>
      <c r="W650" s="183">
        <v>1</v>
      </c>
      <c r="X650" s="184">
        <v>1</v>
      </c>
      <c r="Y650" s="185">
        <v>1</v>
      </c>
      <c r="Z650" s="183">
        <v>1</v>
      </c>
      <c r="AA650" s="184">
        <v>1</v>
      </c>
      <c r="AB650" s="185">
        <v>1</v>
      </c>
      <c r="AC650" s="41"/>
      <c r="AF650" s="162"/>
    </row>
    <row r="651" spans="1:32" x14ac:dyDescent="0.2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</row>
    <row r="652" spans="1:32" x14ac:dyDescent="0.2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</row>
    <row r="653" spans="1:32" x14ac:dyDescent="0.2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</row>
    <row r="654" spans="1:32" x14ac:dyDescent="0.2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</row>
    <row r="655" spans="1:32" ht="14.25" customHeight="1" x14ac:dyDescent="0.2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213" t="s">
        <v>7100</v>
      </c>
      <c r="L655" s="213"/>
      <c r="M655" s="213"/>
      <c r="N655" s="213"/>
      <c r="O655" s="213"/>
      <c r="P655" s="213"/>
      <c r="Q655" s="213"/>
      <c r="R655" s="213"/>
    </row>
    <row r="656" spans="1:32" x14ac:dyDescent="0.2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213"/>
      <c r="L656" s="213"/>
      <c r="M656" s="213"/>
      <c r="N656" s="213"/>
      <c r="O656" s="213"/>
      <c r="P656" s="213"/>
      <c r="Q656" s="213"/>
      <c r="R656" s="213"/>
    </row>
    <row r="657" spans="1:18" ht="14.25" customHeight="1" x14ac:dyDescent="0.2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231" t="s">
        <v>7147</v>
      </c>
      <c r="L657" s="231"/>
      <c r="M657" s="231"/>
      <c r="N657" s="231"/>
      <c r="O657" s="231"/>
      <c r="P657" s="231"/>
      <c r="Q657" s="231"/>
      <c r="R657" s="231"/>
    </row>
    <row r="658" spans="1:18" x14ac:dyDescent="0.2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231"/>
      <c r="L658" s="231"/>
      <c r="M658" s="231"/>
      <c r="N658" s="231"/>
      <c r="O658" s="231"/>
      <c r="P658" s="231"/>
      <c r="Q658" s="231"/>
      <c r="R658" s="231"/>
    </row>
    <row r="659" spans="1:18" ht="14.25" customHeight="1" x14ac:dyDescent="0.2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233" t="s">
        <v>7148</v>
      </c>
      <c r="L659" s="233"/>
      <c r="M659" s="233"/>
      <c r="N659" s="233"/>
      <c r="O659" s="233"/>
      <c r="P659" s="233"/>
      <c r="Q659" s="233"/>
      <c r="R659" s="233"/>
    </row>
    <row r="660" spans="1:18" x14ac:dyDescent="0.2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233"/>
      <c r="L660" s="233"/>
      <c r="M660" s="233"/>
      <c r="N660" s="233"/>
      <c r="O660" s="233"/>
      <c r="P660" s="233"/>
      <c r="Q660" s="233"/>
      <c r="R660" s="233"/>
    </row>
    <row r="661" spans="1:18" x14ac:dyDescent="0.2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</row>
    <row r="662" spans="1:18" x14ac:dyDescent="0.2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</row>
    <row r="663" spans="1:18" x14ac:dyDescent="0.2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</row>
    <row r="664" spans="1:18" x14ac:dyDescent="0.2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</row>
    <row r="665" spans="1:18" x14ac:dyDescent="0.2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</row>
    <row r="666" spans="1:18" x14ac:dyDescent="0.2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</row>
    <row r="667" spans="1:18" x14ac:dyDescent="0.2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</row>
    <row r="668" spans="1:18" x14ac:dyDescent="0.2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</row>
    <row r="669" spans="1:18" x14ac:dyDescent="0.2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</row>
    <row r="670" spans="1:18" x14ac:dyDescent="0.2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</row>
    <row r="671" spans="1:18" x14ac:dyDescent="0.2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</row>
    <row r="672" spans="1:18" x14ac:dyDescent="0.2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</row>
    <row r="673" spans="1:32" x14ac:dyDescent="0.2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</row>
    <row r="674" spans="1:32" x14ac:dyDescent="0.2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</row>
    <row r="675" spans="1:32" x14ac:dyDescent="0.2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</row>
    <row r="676" spans="1:32" x14ac:dyDescent="0.2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</row>
    <row r="677" spans="1:32" ht="15" thickBot="1" x14ac:dyDescent="0.2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</row>
    <row r="678" spans="1:32" s="41" customFormat="1" ht="55.5" customHeight="1" thickBot="1" x14ac:dyDescent="0.25">
      <c r="A678" s="240" t="s">
        <v>109</v>
      </c>
      <c r="B678" s="241"/>
      <c r="C678" s="241"/>
      <c r="D678" s="241"/>
      <c r="E678" s="241"/>
      <c r="F678" s="241"/>
      <c r="G678" s="242"/>
      <c r="H678" s="74"/>
      <c r="I678" s="74"/>
      <c r="J678" s="74"/>
      <c r="K678" s="74"/>
      <c r="N678" s="162"/>
    </row>
    <row r="679" spans="1:32" s="41" customFormat="1" ht="15.75" thickBot="1" x14ac:dyDescent="0.3">
      <c r="A679" s="28"/>
      <c r="B679" s="234" t="str">
        <f>+B73</f>
        <v>Successful</v>
      </c>
      <c r="C679" s="235"/>
      <c r="D679" s="236" t="str">
        <f>+D73</f>
        <v>Unsuccessful</v>
      </c>
      <c r="E679" s="237"/>
      <c r="F679" s="238" t="s">
        <v>16</v>
      </c>
      <c r="G679" s="239"/>
      <c r="H679" s="206">
        <f>+H644</f>
        <v>2021</v>
      </c>
      <c r="I679" s="207"/>
      <c r="J679" s="208"/>
      <c r="K679" s="206">
        <f>+K644</f>
        <v>2020</v>
      </c>
      <c r="L679" s="207"/>
      <c r="M679" s="208"/>
      <c r="N679" s="206">
        <f>+N644</f>
        <v>2019</v>
      </c>
      <c r="O679" s="207"/>
      <c r="P679" s="208"/>
      <c r="Q679" s="206">
        <f>+Q644</f>
        <v>2018</v>
      </c>
      <c r="R679" s="207"/>
      <c r="S679" s="208"/>
      <c r="T679" s="206">
        <f>+T644</f>
        <v>2017</v>
      </c>
      <c r="U679" s="207"/>
      <c r="V679" s="208"/>
      <c r="W679" s="209">
        <f>+W644</f>
        <v>2016</v>
      </c>
      <c r="X679" s="210"/>
      <c r="Y679" s="211"/>
      <c r="Z679" s="209">
        <f>+Z644</f>
        <v>2015</v>
      </c>
      <c r="AA679" s="210"/>
      <c r="AB679" s="211"/>
      <c r="AC679" s="165"/>
      <c r="AF679" s="162"/>
    </row>
    <row r="680" spans="1:32" s="41" customFormat="1" ht="29.25" customHeight="1" thickBot="1" x14ac:dyDescent="0.25">
      <c r="A680" s="28"/>
      <c r="B680" s="29" t="s">
        <v>37</v>
      </c>
      <c r="C680" s="30" t="s">
        <v>38</v>
      </c>
      <c r="D680" s="29" t="s">
        <v>37</v>
      </c>
      <c r="E680" s="30" t="s">
        <v>38</v>
      </c>
      <c r="F680" s="29" t="s">
        <v>37</v>
      </c>
      <c r="G680" s="30" t="s">
        <v>38</v>
      </c>
      <c r="H680" s="186" t="s">
        <v>132</v>
      </c>
      <c r="I680" s="187" t="s">
        <v>133</v>
      </c>
      <c r="J680" s="44" t="s">
        <v>16</v>
      </c>
      <c r="K680" s="186" t="s">
        <v>132</v>
      </c>
      <c r="L680" s="187" t="s">
        <v>133</v>
      </c>
      <c r="M680" s="44" t="s">
        <v>16</v>
      </c>
      <c r="N680" s="186" t="s">
        <v>132</v>
      </c>
      <c r="O680" s="187" t="s">
        <v>133</v>
      </c>
      <c r="P680" s="44" t="s">
        <v>16</v>
      </c>
      <c r="Q680" s="186" t="s">
        <v>132</v>
      </c>
      <c r="R680" s="187" t="s">
        <v>133</v>
      </c>
      <c r="S680" s="44" t="s">
        <v>16</v>
      </c>
      <c r="T680" s="186" t="s">
        <v>132</v>
      </c>
      <c r="U680" s="187" t="s">
        <v>133</v>
      </c>
      <c r="V680" s="44" t="s">
        <v>16</v>
      </c>
      <c r="W680" s="186" t="s">
        <v>132</v>
      </c>
      <c r="X680" s="187" t="s">
        <v>133</v>
      </c>
      <c r="Y680" s="44" t="s">
        <v>16</v>
      </c>
      <c r="Z680" s="186" t="s">
        <v>132</v>
      </c>
      <c r="AA680" s="187" t="s">
        <v>133</v>
      </c>
      <c r="AB680" s="44" t="s">
        <v>16</v>
      </c>
    </row>
    <row r="681" spans="1:32" s="41" customFormat="1" x14ac:dyDescent="0.2">
      <c r="A681" s="98" t="s">
        <v>134</v>
      </c>
      <c r="B681" s="31">
        <f>COUNTIFS(DATA!$AA$3:$AA$7183,1,DATA!$D$3:$D$7183,260)</f>
        <v>161</v>
      </c>
      <c r="C681" s="35">
        <f>+B681/$B$686</f>
        <v>0.70305676855895194</v>
      </c>
      <c r="D681" s="31">
        <f>COUNTIFS(DATA!$AA$3:$AA$7183,1,DATA!$D$3:$D$7183,280)</f>
        <v>47</v>
      </c>
      <c r="E681" s="35">
        <f>+D681/$D$686</f>
        <v>0.4845360824742268</v>
      </c>
      <c r="F681" s="31">
        <f>+D681+B681</f>
        <v>208</v>
      </c>
      <c r="G681" s="35">
        <f>+F681/$F$686</f>
        <v>0.6380368098159509</v>
      </c>
      <c r="H681" s="181">
        <v>0.74879227053140096</v>
      </c>
      <c r="I681" s="180">
        <v>0.39130434782608697</v>
      </c>
      <c r="J681" s="182">
        <v>0.6387959866220736</v>
      </c>
      <c r="K681" s="181">
        <v>0.73895582329317266</v>
      </c>
      <c r="L681" s="180">
        <v>0.48175182481751827</v>
      </c>
      <c r="M681" s="182">
        <v>0.64766839378238339</v>
      </c>
      <c r="N681" s="181">
        <v>0.72033898305084743</v>
      </c>
      <c r="O681" s="180">
        <v>0.4375</v>
      </c>
      <c r="P681" s="182">
        <v>0.63229571984435795</v>
      </c>
      <c r="Q681" s="181">
        <v>0.73</v>
      </c>
      <c r="R681" s="180">
        <v>0.49</v>
      </c>
      <c r="S681" s="182">
        <v>0.65</v>
      </c>
      <c r="T681" s="181">
        <v>0.632996632996633</v>
      </c>
      <c r="U681" s="180">
        <v>0.54601226993865026</v>
      </c>
      <c r="V681" s="182">
        <v>0.60217391304347823</v>
      </c>
      <c r="W681" s="181">
        <v>0.69794721407624638</v>
      </c>
      <c r="X681" s="180">
        <v>0.4861111111111111</v>
      </c>
      <c r="Y681" s="182">
        <v>0.63505154639175254</v>
      </c>
      <c r="Z681" s="181">
        <v>0.69753086419753085</v>
      </c>
      <c r="AA681" s="180">
        <v>0.47</v>
      </c>
      <c r="AB681" s="182">
        <v>0.63805104408352664</v>
      </c>
    </row>
    <row r="682" spans="1:32" s="41" customFormat="1" ht="29.25" customHeight="1" x14ac:dyDescent="0.2">
      <c r="A682" s="95" t="s">
        <v>89</v>
      </c>
      <c r="B682" s="31">
        <f>COUNTIFS(DATA!$AA$3:$AA$7183,2,DATA!$D$3:$D$7183,260)</f>
        <v>33</v>
      </c>
      <c r="C682" s="35">
        <f t="shared" ref="C682:C685" si="100">+B682/$B$686</f>
        <v>0.14410480349344978</v>
      </c>
      <c r="D682" s="42">
        <f>COUNTIFS(DATA!$AA$3:$AA$7183,2,DATA!$D$3:$D$7183,280)</f>
        <v>20</v>
      </c>
      <c r="E682" s="35">
        <f t="shared" ref="E682:E685" si="101">+D682/$D$686</f>
        <v>0.20618556701030927</v>
      </c>
      <c r="F682" s="42">
        <f t="shared" ref="F682:F685" si="102">+D682+B682</f>
        <v>53</v>
      </c>
      <c r="G682" s="35">
        <f t="shared" ref="G682:G685" si="103">+F682/$F$686</f>
        <v>0.16257668711656442</v>
      </c>
      <c r="H682" s="181">
        <v>0.13526570048309178</v>
      </c>
      <c r="I682" s="180">
        <v>0.2608695652173913</v>
      </c>
      <c r="J682" s="182">
        <v>0.17391304347826086</v>
      </c>
      <c r="K682" s="181">
        <v>0.1646586345381526</v>
      </c>
      <c r="L682" s="180">
        <v>0.19708029197080293</v>
      </c>
      <c r="M682" s="182">
        <v>0.17616580310880828</v>
      </c>
      <c r="N682" s="181">
        <v>0.18361581920903955</v>
      </c>
      <c r="O682" s="180">
        <v>0.16875000000000001</v>
      </c>
      <c r="P682" s="182">
        <v>0.17898832684824903</v>
      </c>
      <c r="Q682" s="181">
        <v>0.17</v>
      </c>
      <c r="R682" s="180">
        <v>0.22</v>
      </c>
      <c r="S682" s="182">
        <v>0.18</v>
      </c>
      <c r="T682" s="181">
        <v>0.22558922558922559</v>
      </c>
      <c r="U682" s="180">
        <v>0.12269938650306748</v>
      </c>
      <c r="V682" s="182">
        <v>0.18913043478260869</v>
      </c>
      <c r="W682" s="181">
        <v>0.18475073313782991</v>
      </c>
      <c r="X682" s="180">
        <v>0.2013888888888889</v>
      </c>
      <c r="Y682" s="182">
        <v>0.18969072164948453</v>
      </c>
      <c r="Z682" s="181">
        <v>0.18518518518518517</v>
      </c>
      <c r="AA682" s="180">
        <v>0.19</v>
      </c>
      <c r="AB682" s="182">
        <v>0.18793503480278423</v>
      </c>
    </row>
    <row r="683" spans="1:32" s="41" customFormat="1" ht="27.75" customHeight="1" x14ac:dyDescent="0.2">
      <c r="A683" s="95" t="s">
        <v>90</v>
      </c>
      <c r="B683" s="31">
        <f>COUNTIFS(DATA!$AA$3:$AA$7183,"3",DATA!$D$3:$D$7183,260)</f>
        <v>11</v>
      </c>
      <c r="C683" s="35">
        <f t="shared" si="100"/>
        <v>4.8034934497816595E-2</v>
      </c>
      <c r="D683" s="42">
        <f>COUNTIFS(DATA!$AA$3:$AA$7183,"3",DATA!$D$3:$D$7183,280)</f>
        <v>6</v>
      </c>
      <c r="E683" s="35">
        <f t="shared" si="101"/>
        <v>6.1855670103092786E-2</v>
      </c>
      <c r="F683" s="42">
        <f t="shared" si="102"/>
        <v>17</v>
      </c>
      <c r="G683" s="35">
        <f t="shared" si="103"/>
        <v>5.2147239263803678E-2</v>
      </c>
      <c r="H683" s="181">
        <v>2.8985507246376812E-2</v>
      </c>
      <c r="I683" s="180">
        <v>5.434782608695652E-2</v>
      </c>
      <c r="J683" s="182">
        <v>3.678929765886288E-2</v>
      </c>
      <c r="K683" s="181">
        <v>2.4096385542168676E-2</v>
      </c>
      <c r="L683" s="180">
        <v>9.4890510948905105E-2</v>
      </c>
      <c r="M683" s="182">
        <v>4.9222797927461141E-2</v>
      </c>
      <c r="N683" s="181">
        <v>4.519774011299435E-2</v>
      </c>
      <c r="O683" s="180">
        <v>0.125</v>
      </c>
      <c r="P683" s="182">
        <v>7.0038910505836577E-2</v>
      </c>
      <c r="Q683" s="181">
        <v>0.04</v>
      </c>
      <c r="R683" s="180">
        <v>7.0000000000000007E-2</v>
      </c>
      <c r="S683" s="182">
        <v>0.05</v>
      </c>
      <c r="T683" s="181">
        <v>4.7138047138047139E-2</v>
      </c>
      <c r="U683" s="180">
        <v>6.1349693251533742E-2</v>
      </c>
      <c r="V683" s="182">
        <v>5.2173913043478258E-2</v>
      </c>
      <c r="W683" s="181">
        <v>4.1055718475073312E-2</v>
      </c>
      <c r="X683" s="180">
        <v>9.7222222222222224E-2</v>
      </c>
      <c r="Y683" s="182">
        <v>5.7731958762886601E-2</v>
      </c>
      <c r="Z683" s="181">
        <v>3.3950617283950615E-2</v>
      </c>
      <c r="AA683" s="180">
        <v>0.13084112149532709</v>
      </c>
      <c r="AB683" s="182">
        <v>5.8004640371229696E-2</v>
      </c>
    </row>
    <row r="684" spans="1:32" s="41" customFormat="1" ht="26.25" customHeight="1" x14ac:dyDescent="0.2">
      <c r="A684" s="96" t="s">
        <v>91</v>
      </c>
      <c r="B684" s="31">
        <f>COUNTIFS(DATA!$AA$3:$AA$7183,"4",DATA!$D$3:$D$7183,260,DATA!$I$3:$I$7183,"D")</f>
        <v>13</v>
      </c>
      <c r="C684" s="35">
        <f t="shared" si="100"/>
        <v>5.6768558951965066E-2</v>
      </c>
      <c r="D684" s="21">
        <f>COUNTIFS(DATA!$AA$3:$AA$7183,"4",DATA!$D$3:$D$7183,280,DATA!$I$3:$I$7183,"D")</f>
        <v>22</v>
      </c>
      <c r="E684" s="35">
        <f t="shared" si="101"/>
        <v>0.22680412371134021</v>
      </c>
      <c r="F684" s="21">
        <f t="shared" si="102"/>
        <v>35</v>
      </c>
      <c r="G684" s="35">
        <f t="shared" si="103"/>
        <v>0.10736196319018405</v>
      </c>
      <c r="H684" s="181">
        <v>4.8309178743961352E-2</v>
      </c>
      <c r="I684" s="180">
        <v>0.21739130434782608</v>
      </c>
      <c r="J684" s="182">
        <v>0.10033444816053512</v>
      </c>
      <c r="K684" s="181">
        <v>4.8192771084337352E-2</v>
      </c>
      <c r="L684" s="180">
        <v>0.18248175182481752</v>
      </c>
      <c r="M684" s="182">
        <v>9.585492227979274E-2</v>
      </c>
      <c r="N684" s="181">
        <v>2.5423728813559324E-2</v>
      </c>
      <c r="O684" s="180">
        <v>0.23125000000000001</v>
      </c>
      <c r="P684" s="182">
        <v>8.9494163424124515E-2</v>
      </c>
      <c r="Q684" s="181">
        <v>0.05</v>
      </c>
      <c r="R684" s="180">
        <v>0.18</v>
      </c>
      <c r="S684" s="182">
        <v>0.09</v>
      </c>
      <c r="T684" s="181">
        <v>5.7239057239057242E-2</v>
      </c>
      <c r="U684" s="180">
        <v>0.20245398773006135</v>
      </c>
      <c r="V684" s="182">
        <v>0.10869565217391304</v>
      </c>
      <c r="W684" s="181">
        <v>4.9853372434017593E-2</v>
      </c>
      <c r="X684" s="180">
        <v>0.18055555555555555</v>
      </c>
      <c r="Y684" s="182">
        <v>8.8659793814432994E-2</v>
      </c>
      <c r="Z684" s="181">
        <v>0.04</v>
      </c>
      <c r="AA684" s="180">
        <v>0.19</v>
      </c>
      <c r="AB684" s="182">
        <v>8.3526682134570762E-2</v>
      </c>
    </row>
    <row r="685" spans="1:32" s="41" customFormat="1" ht="27" customHeight="1" thickBot="1" x14ac:dyDescent="0.25">
      <c r="A685" s="97" t="s">
        <v>39</v>
      </c>
      <c r="B685" s="31">
        <f>COUNTIFS(DATA!$AA$3:$AA$7183,"5",DATA!$D$3:$D$7183,260,DATA!$I$3:$I$7183,"D")</f>
        <v>11</v>
      </c>
      <c r="C685" s="35">
        <f t="shared" si="100"/>
        <v>4.8034934497816595E-2</v>
      </c>
      <c r="D685" s="21">
        <f>COUNTIFS(DATA!$AA$3:$AA$7183,"5",DATA!$D$3:$D$7183,280,DATA!$I$3:$I$7183,"D")</f>
        <v>2</v>
      </c>
      <c r="E685" s="35">
        <f t="shared" si="101"/>
        <v>2.0618556701030927E-2</v>
      </c>
      <c r="F685" s="21">
        <f t="shared" si="102"/>
        <v>13</v>
      </c>
      <c r="G685" s="35">
        <f t="shared" si="103"/>
        <v>3.9877300613496931E-2</v>
      </c>
      <c r="H685" s="181">
        <v>3.864734299516908E-2</v>
      </c>
      <c r="I685" s="180">
        <v>7.6086956521739135E-2</v>
      </c>
      <c r="J685" s="182">
        <v>5.016722408026756E-2</v>
      </c>
      <c r="K685" s="181">
        <v>2.4096385542168676E-2</v>
      </c>
      <c r="L685" s="180">
        <v>4.3795620437956206E-2</v>
      </c>
      <c r="M685" s="182">
        <v>3.1088082901554404E-2</v>
      </c>
      <c r="N685" s="181">
        <v>2.5423728813559324E-2</v>
      </c>
      <c r="O685" s="180">
        <v>3.7499999999999999E-2</v>
      </c>
      <c r="P685" s="182">
        <v>2.9182879377431907E-2</v>
      </c>
      <c r="Q685" s="181">
        <v>0.02</v>
      </c>
      <c r="R685" s="180">
        <v>0.04</v>
      </c>
      <c r="S685" s="182">
        <v>0.02</v>
      </c>
      <c r="T685" s="181">
        <v>3.7037037037037035E-2</v>
      </c>
      <c r="U685" s="180">
        <v>6.7484662576687116E-2</v>
      </c>
      <c r="V685" s="182">
        <v>4.7826086956521741E-2</v>
      </c>
      <c r="W685" s="181">
        <v>2.6392961876832845E-2</v>
      </c>
      <c r="X685" s="180">
        <v>3.4722222222222224E-2</v>
      </c>
      <c r="Y685" s="182">
        <v>2.88659793814433E-2</v>
      </c>
      <c r="Z685" s="181">
        <v>3.7037037037037035E-2</v>
      </c>
      <c r="AA685" s="180">
        <v>1.8691588785046728E-2</v>
      </c>
      <c r="AB685" s="182">
        <v>3.248259860788863E-2</v>
      </c>
    </row>
    <row r="686" spans="1:32" s="41" customFormat="1" ht="15.75" thickBot="1" x14ac:dyDescent="0.3">
      <c r="A686" s="111" t="s">
        <v>16</v>
      </c>
      <c r="B686" s="101">
        <f>SUM(B681:B685)</f>
        <v>229</v>
      </c>
      <c r="C686" s="114">
        <f>+B686/$B$686</f>
        <v>1</v>
      </c>
      <c r="D686" s="101">
        <f>SUM(D681:D685)</f>
        <v>97</v>
      </c>
      <c r="E686" s="114">
        <f>+D686/$D$686</f>
        <v>1</v>
      </c>
      <c r="F686" s="101">
        <f>SUM(F681:F685)</f>
        <v>326</v>
      </c>
      <c r="G686" s="114">
        <f>+F686/$F$686</f>
        <v>1</v>
      </c>
      <c r="H686" s="183">
        <v>1</v>
      </c>
      <c r="I686" s="184">
        <v>1</v>
      </c>
      <c r="J686" s="185">
        <v>1</v>
      </c>
      <c r="K686" s="183">
        <v>1</v>
      </c>
      <c r="L686" s="184">
        <v>1</v>
      </c>
      <c r="M686" s="185">
        <v>1</v>
      </c>
      <c r="N686" s="183">
        <v>1</v>
      </c>
      <c r="O686" s="184">
        <v>1</v>
      </c>
      <c r="P686" s="185">
        <v>1</v>
      </c>
      <c r="Q686" s="183">
        <v>1</v>
      </c>
      <c r="R686" s="184">
        <v>1</v>
      </c>
      <c r="S686" s="185">
        <v>1</v>
      </c>
      <c r="T686" s="183">
        <v>1</v>
      </c>
      <c r="U686" s="184">
        <v>1</v>
      </c>
      <c r="V686" s="185">
        <v>1</v>
      </c>
      <c r="W686" s="183">
        <v>1</v>
      </c>
      <c r="X686" s="184">
        <v>1</v>
      </c>
      <c r="Y686" s="185">
        <v>1</v>
      </c>
      <c r="Z686" s="183">
        <v>1</v>
      </c>
      <c r="AA686" s="184">
        <v>1</v>
      </c>
      <c r="AB686" s="185">
        <v>1</v>
      </c>
      <c r="AF686" s="162"/>
    </row>
    <row r="687" spans="1:32" s="41" customFormat="1" x14ac:dyDescent="0.2">
      <c r="N687" s="162"/>
    </row>
    <row r="688" spans="1:32" s="41" customFormat="1" x14ac:dyDescent="0.2">
      <c r="N688" s="162"/>
    </row>
    <row r="689" spans="11:18" s="41" customFormat="1" x14ac:dyDescent="0.2">
      <c r="N689" s="162"/>
    </row>
    <row r="690" spans="11:18" s="41" customFormat="1" x14ac:dyDescent="0.2">
      <c r="N690" s="162"/>
    </row>
    <row r="691" spans="11:18" s="41" customFormat="1" x14ac:dyDescent="0.2">
      <c r="K691" s="220" t="s">
        <v>138</v>
      </c>
      <c r="L691" s="218"/>
      <c r="M691" s="218"/>
      <c r="N691" s="218"/>
      <c r="O691" s="218"/>
      <c r="P691" s="218"/>
      <c r="Q691" s="218"/>
      <c r="R691" s="218"/>
    </row>
    <row r="692" spans="11:18" s="41" customFormat="1" x14ac:dyDescent="0.2">
      <c r="K692" s="132"/>
      <c r="L692" s="132"/>
      <c r="M692" s="132"/>
      <c r="N692" s="163"/>
      <c r="O692" s="131"/>
      <c r="P692" s="130"/>
      <c r="Q692" s="130"/>
      <c r="R692" s="130"/>
    </row>
    <row r="693" spans="11:18" s="41" customFormat="1" x14ac:dyDescent="0.2">
      <c r="K693" s="221" t="s">
        <v>7149</v>
      </c>
      <c r="L693" s="219"/>
      <c r="M693" s="219"/>
      <c r="N693" s="219"/>
      <c r="O693" s="219"/>
      <c r="P693" s="219"/>
      <c r="Q693" s="219"/>
      <c r="R693" s="219"/>
    </row>
    <row r="694" spans="11:18" s="41" customFormat="1" x14ac:dyDescent="0.2">
      <c r="K694" s="221" t="s">
        <v>7150</v>
      </c>
      <c r="L694" s="219"/>
      <c r="M694" s="219"/>
      <c r="N694" s="219"/>
      <c r="O694" s="219"/>
      <c r="P694" s="219"/>
      <c r="Q694" s="219"/>
      <c r="R694" s="219"/>
    </row>
    <row r="695" spans="11:18" s="41" customFormat="1" x14ac:dyDescent="0.2">
      <c r="K695" s="214" t="s">
        <v>7151</v>
      </c>
      <c r="L695" s="215"/>
      <c r="M695" s="215"/>
      <c r="N695" s="215"/>
      <c r="O695" s="215"/>
      <c r="P695" s="215"/>
      <c r="Q695" s="215"/>
      <c r="R695" s="215"/>
    </row>
    <row r="696" spans="11:18" s="41" customFormat="1" x14ac:dyDescent="0.2">
      <c r="K696" s="214" t="s">
        <v>7152</v>
      </c>
      <c r="L696" s="215"/>
      <c r="M696" s="215"/>
      <c r="N696" s="215"/>
      <c r="O696" s="215"/>
      <c r="P696" s="215"/>
      <c r="Q696" s="215"/>
      <c r="R696" s="215"/>
    </row>
    <row r="697" spans="11:18" s="41" customFormat="1" x14ac:dyDescent="0.2">
      <c r="N697" s="162"/>
    </row>
    <row r="698" spans="11:18" s="41" customFormat="1" x14ac:dyDescent="0.2">
      <c r="N698" s="162"/>
    </row>
    <row r="699" spans="11:18" s="41" customFormat="1" x14ac:dyDescent="0.2">
      <c r="N699" s="162"/>
    </row>
    <row r="700" spans="11:18" s="41" customFormat="1" x14ac:dyDescent="0.2">
      <c r="N700" s="162"/>
    </row>
    <row r="701" spans="11:18" s="41" customFormat="1" x14ac:dyDescent="0.2">
      <c r="N701" s="162"/>
    </row>
    <row r="702" spans="11:18" s="41" customFormat="1" x14ac:dyDescent="0.2">
      <c r="N702" s="162"/>
    </row>
    <row r="703" spans="11:18" s="41" customFormat="1" x14ac:dyDescent="0.2">
      <c r="N703" s="162"/>
    </row>
    <row r="704" spans="11:18" s="41" customFormat="1" x14ac:dyDescent="0.2">
      <c r="N704" s="162"/>
    </row>
    <row r="705" spans="1:32" s="41" customFormat="1" x14ac:dyDescent="0.2">
      <c r="N705" s="162"/>
    </row>
    <row r="706" spans="1:32" s="41" customFormat="1" x14ac:dyDescent="0.2">
      <c r="N706" s="162"/>
    </row>
    <row r="707" spans="1:32" s="41" customFormat="1" x14ac:dyDescent="0.2">
      <c r="N707" s="162"/>
    </row>
    <row r="708" spans="1:32" s="41" customFormat="1" x14ac:dyDescent="0.2">
      <c r="N708" s="162"/>
    </row>
    <row r="709" spans="1:32" s="41" customFormat="1" x14ac:dyDescent="0.2">
      <c r="N709" s="162"/>
    </row>
    <row r="710" spans="1:32" s="41" customFormat="1" x14ac:dyDescent="0.2">
      <c r="N710" s="162"/>
    </row>
    <row r="711" spans="1:32" s="41" customFormat="1" x14ac:dyDescent="0.2">
      <c r="N711" s="162"/>
    </row>
    <row r="712" spans="1:32" s="41" customFormat="1" x14ac:dyDescent="0.2">
      <c r="N712" s="162"/>
    </row>
    <row r="713" spans="1:32" s="41" customFormat="1" x14ac:dyDescent="0.2">
      <c r="N713" s="162"/>
    </row>
    <row r="714" spans="1:32" s="41" customFormat="1" ht="15" thickBot="1" x14ac:dyDescent="0.25">
      <c r="N714" s="162"/>
    </row>
    <row r="715" spans="1:32" s="41" customFormat="1" ht="42" customHeight="1" thickBot="1" x14ac:dyDescent="0.25">
      <c r="A715" s="240" t="s">
        <v>110</v>
      </c>
      <c r="B715" s="241"/>
      <c r="C715" s="241"/>
      <c r="D715" s="241"/>
      <c r="E715" s="241"/>
      <c r="F715" s="241"/>
      <c r="G715" s="242"/>
      <c r="H715" s="74"/>
      <c r="I715" s="74"/>
      <c r="J715" s="74"/>
      <c r="K715" s="74"/>
      <c r="N715" s="162"/>
    </row>
    <row r="716" spans="1:32" s="41" customFormat="1" ht="15.75" thickBot="1" x14ac:dyDescent="0.3">
      <c r="A716" s="28"/>
      <c r="B716" s="234" t="str">
        <f>+B73</f>
        <v>Successful</v>
      </c>
      <c r="C716" s="235"/>
      <c r="D716" s="236" t="str">
        <f>+D73</f>
        <v>Unsuccessful</v>
      </c>
      <c r="E716" s="237"/>
      <c r="F716" s="238" t="s">
        <v>16</v>
      </c>
      <c r="G716" s="239"/>
      <c r="H716" s="206">
        <f>+H679</f>
        <v>2021</v>
      </c>
      <c r="I716" s="207"/>
      <c r="J716" s="208"/>
      <c r="K716" s="206">
        <f>+K679</f>
        <v>2020</v>
      </c>
      <c r="L716" s="207"/>
      <c r="M716" s="208"/>
      <c r="N716" s="206">
        <f>+N679</f>
        <v>2019</v>
      </c>
      <c r="O716" s="207"/>
      <c r="P716" s="208"/>
      <c r="Q716" s="206">
        <f>+Q679</f>
        <v>2018</v>
      </c>
      <c r="R716" s="207"/>
      <c r="S716" s="208"/>
      <c r="T716" s="206">
        <f>+T679</f>
        <v>2017</v>
      </c>
      <c r="U716" s="207"/>
      <c r="V716" s="208"/>
      <c r="W716" s="209">
        <f>+W679</f>
        <v>2016</v>
      </c>
      <c r="X716" s="210"/>
      <c r="Y716" s="211"/>
      <c r="Z716" s="209">
        <f>+Z679</f>
        <v>2015</v>
      </c>
      <c r="AA716" s="210"/>
      <c r="AB716" s="211"/>
      <c r="AC716" s="165"/>
      <c r="AF716" s="162"/>
    </row>
    <row r="717" spans="1:32" s="41" customFormat="1" ht="29.25" customHeight="1" thickBot="1" x14ac:dyDescent="0.25">
      <c r="A717" s="28"/>
      <c r="B717" s="29" t="s">
        <v>37</v>
      </c>
      <c r="C717" s="30" t="s">
        <v>38</v>
      </c>
      <c r="D717" s="29" t="s">
        <v>37</v>
      </c>
      <c r="E717" s="30" t="s">
        <v>38</v>
      </c>
      <c r="F717" s="29" t="s">
        <v>37</v>
      </c>
      <c r="G717" s="30" t="s">
        <v>38</v>
      </c>
      <c r="H717" s="186" t="s">
        <v>132</v>
      </c>
      <c r="I717" s="187" t="s">
        <v>133</v>
      </c>
      <c r="J717" s="44" t="s">
        <v>16</v>
      </c>
      <c r="K717" s="186" t="s">
        <v>132</v>
      </c>
      <c r="L717" s="187" t="s">
        <v>133</v>
      </c>
      <c r="M717" s="44" t="s">
        <v>16</v>
      </c>
      <c r="N717" s="186" t="s">
        <v>132</v>
      </c>
      <c r="O717" s="187" t="s">
        <v>133</v>
      </c>
      <c r="P717" s="44" t="s">
        <v>16</v>
      </c>
      <c r="Q717" s="186" t="s">
        <v>132</v>
      </c>
      <c r="R717" s="187" t="s">
        <v>133</v>
      </c>
      <c r="S717" s="44" t="s">
        <v>16</v>
      </c>
      <c r="T717" s="186" t="s">
        <v>132</v>
      </c>
      <c r="U717" s="187" t="s">
        <v>133</v>
      </c>
      <c r="V717" s="44" t="s">
        <v>16</v>
      </c>
      <c r="W717" s="186" t="s">
        <v>132</v>
      </c>
      <c r="X717" s="187" t="s">
        <v>133</v>
      </c>
      <c r="Y717" s="44" t="s">
        <v>16</v>
      </c>
      <c r="Z717" s="186" t="s">
        <v>132</v>
      </c>
      <c r="AA717" s="187" t="s">
        <v>133</v>
      </c>
      <c r="AB717" s="44" t="s">
        <v>16</v>
      </c>
    </row>
    <row r="718" spans="1:32" s="41" customFormat="1" x14ac:dyDescent="0.2">
      <c r="A718" s="98" t="s">
        <v>134</v>
      </c>
      <c r="B718" s="31">
        <f>COUNTIFS(DATA!$AB$3:$AB$7183,1,DATA!$D$3:$D$7183,260)</f>
        <v>15</v>
      </c>
      <c r="C718" s="35">
        <f>IF(B722=0,0,+B718/B722)</f>
        <v>0.625</v>
      </c>
      <c r="D718" s="31">
        <f>COUNTIFS(DATA!$AB$3:$AB$7183,1,DATA!$D$3:$D$7183,280)</f>
        <v>16</v>
      </c>
      <c r="E718" s="35">
        <f>+D718/D722</f>
        <v>0.5714285714285714</v>
      </c>
      <c r="F718" s="31">
        <f>+D718+B718</f>
        <v>31</v>
      </c>
      <c r="G718" s="35">
        <f>+F718/F722</f>
        <v>0.59615384615384615</v>
      </c>
      <c r="H718" s="181">
        <v>0.5625</v>
      </c>
      <c r="I718" s="180">
        <v>0.52</v>
      </c>
      <c r="J718" s="182">
        <v>0.53658536585365857</v>
      </c>
      <c r="K718" s="181">
        <v>0.5</v>
      </c>
      <c r="L718" s="180">
        <v>0.71052631578947367</v>
      </c>
      <c r="M718" s="182">
        <v>0.6428571428571429</v>
      </c>
      <c r="N718" s="181">
        <v>0.68</v>
      </c>
      <c r="O718" s="180">
        <v>0.52631578947368418</v>
      </c>
      <c r="P718" s="182">
        <v>0.57317073170731703</v>
      </c>
      <c r="Q718" s="181">
        <v>0.48</v>
      </c>
      <c r="R718" s="180">
        <v>0.51</v>
      </c>
      <c r="S718" s="182">
        <v>0.5</v>
      </c>
      <c r="T718" s="181">
        <v>0.64516129032258063</v>
      </c>
      <c r="U718" s="180">
        <v>0.48837209302325579</v>
      </c>
      <c r="V718" s="182">
        <v>0.55405405405405406</v>
      </c>
      <c r="W718" s="181">
        <v>0.4838709677419355</v>
      </c>
      <c r="X718" s="180">
        <v>0.58536585365853655</v>
      </c>
      <c r="Y718" s="182">
        <v>0.54166666666666663</v>
      </c>
      <c r="Z718" s="181">
        <v>0.5</v>
      </c>
      <c r="AA718" s="180">
        <v>0.42857142857142855</v>
      </c>
      <c r="AB718" s="182">
        <v>0.45901639344262296</v>
      </c>
    </row>
    <row r="719" spans="1:32" s="41" customFormat="1" ht="27.75" customHeight="1" x14ac:dyDescent="0.2">
      <c r="A719" s="99" t="s">
        <v>135</v>
      </c>
      <c r="B719" s="31">
        <f>COUNTIFS(DATA!$AB$3:$AB$7183,2,DATA!$D$3:$D$7183,260)</f>
        <v>7</v>
      </c>
      <c r="C719" s="36">
        <f>IF(B722=0,0,+B719/B722)</f>
        <v>0.29166666666666669</v>
      </c>
      <c r="D719" s="42">
        <f>COUNTIFS(DATA!$AB$3:$AB$7183,2,DATA!$D$3:$D$7183,280)</f>
        <v>8</v>
      </c>
      <c r="E719" s="35">
        <f>+D719/D722</f>
        <v>0.2857142857142857</v>
      </c>
      <c r="F719" s="42">
        <f t="shared" ref="F719:F721" si="104">+D719+B719</f>
        <v>15</v>
      </c>
      <c r="G719" s="35">
        <f>+F719/F722</f>
        <v>0.28846153846153844</v>
      </c>
      <c r="H719" s="181">
        <v>0.375</v>
      </c>
      <c r="I719" s="180">
        <v>0.32</v>
      </c>
      <c r="J719" s="182">
        <v>0.34146341463414637</v>
      </c>
      <c r="K719" s="181">
        <v>0.22222222222222221</v>
      </c>
      <c r="L719" s="180">
        <v>0.18421052631578946</v>
      </c>
      <c r="M719" s="182">
        <v>0.19642857142857142</v>
      </c>
      <c r="N719" s="181">
        <v>0.12</v>
      </c>
      <c r="O719" s="180">
        <v>0.2982456140350877</v>
      </c>
      <c r="P719" s="182">
        <v>0.24390243902439024</v>
      </c>
      <c r="Q719" s="181">
        <v>0.21</v>
      </c>
      <c r="R719" s="180">
        <v>0.27</v>
      </c>
      <c r="S719" s="182">
        <v>0.24</v>
      </c>
      <c r="T719" s="181">
        <v>0.25806451612903225</v>
      </c>
      <c r="U719" s="180">
        <v>0.30232558139534882</v>
      </c>
      <c r="V719" s="182">
        <v>0.28378378378378377</v>
      </c>
      <c r="W719" s="181">
        <v>0.29032258064516131</v>
      </c>
      <c r="X719" s="180">
        <v>0.29268292682926828</v>
      </c>
      <c r="Y719" s="182">
        <v>0.29166666666666669</v>
      </c>
      <c r="Z719" s="181">
        <v>0.38461538461538464</v>
      </c>
      <c r="AA719" s="180">
        <v>0.37142857142857144</v>
      </c>
      <c r="AB719" s="182">
        <v>0.37704918032786883</v>
      </c>
    </row>
    <row r="720" spans="1:32" s="41" customFormat="1" ht="28.5" customHeight="1" x14ac:dyDescent="0.2">
      <c r="A720" s="92" t="s">
        <v>94</v>
      </c>
      <c r="B720" s="31">
        <f>COUNTIFS(DATA!$AB$3:$AB$7183,"3",DATA!$D$3:$D$7183,260)</f>
        <v>2</v>
      </c>
      <c r="C720" s="36">
        <f>IF(B722=0,0,+B720/B722)</f>
        <v>8.3333333333333329E-2</v>
      </c>
      <c r="D720" s="42">
        <f>COUNTIFS(DATA!$AB$3:$AB$7183,"3",DATA!$D$3:$D$7183,280)</f>
        <v>3</v>
      </c>
      <c r="E720" s="35">
        <f>+D720/D722</f>
        <v>0.10714285714285714</v>
      </c>
      <c r="F720" s="42">
        <f t="shared" si="104"/>
        <v>5</v>
      </c>
      <c r="G720" s="35">
        <f>+F720/F722</f>
        <v>9.6153846153846159E-2</v>
      </c>
      <c r="H720" s="181">
        <v>6.25E-2</v>
      </c>
      <c r="I720" s="180">
        <v>0.16</v>
      </c>
      <c r="J720" s="182">
        <v>0.12195121951219512</v>
      </c>
      <c r="K720" s="181">
        <v>0.22222222222222221</v>
      </c>
      <c r="L720" s="180">
        <v>0.10526315789473684</v>
      </c>
      <c r="M720" s="182">
        <v>0.14285714285714285</v>
      </c>
      <c r="N720" s="181">
        <v>0.08</v>
      </c>
      <c r="O720" s="180">
        <v>0.12280701754385964</v>
      </c>
      <c r="P720" s="182">
        <v>0.10975609756097561</v>
      </c>
      <c r="Q720" s="181">
        <v>0.28000000000000003</v>
      </c>
      <c r="R720" s="180">
        <v>0.17</v>
      </c>
      <c r="S720" s="182">
        <v>0.21</v>
      </c>
      <c r="T720" s="181">
        <v>9.6774193548387094E-2</v>
      </c>
      <c r="U720" s="180">
        <v>0.20930232558139536</v>
      </c>
      <c r="V720" s="182">
        <v>0.16216216216216217</v>
      </c>
      <c r="W720" s="181">
        <v>0.16129032258064516</v>
      </c>
      <c r="X720" s="180">
        <v>0.12195121951219512</v>
      </c>
      <c r="Y720" s="182">
        <v>0.1388888888888889</v>
      </c>
      <c r="Z720" s="181">
        <v>0.11538461538461539</v>
      </c>
      <c r="AA720" s="180">
        <v>0.2</v>
      </c>
      <c r="AB720" s="182">
        <v>0.16393442622950818</v>
      </c>
    </row>
    <row r="721" spans="1:32" s="41" customFormat="1" ht="15" thickBot="1" x14ac:dyDescent="0.25">
      <c r="A721" s="93" t="s">
        <v>39</v>
      </c>
      <c r="B721" s="31">
        <f>COUNTIFS(DATA!$AB$3:$AB$7183,"4",DATA!$D$3:$D$7183,260)</f>
        <v>0</v>
      </c>
      <c r="C721" s="36">
        <f>IF(B722=0,0,+B721/B722)</f>
        <v>0</v>
      </c>
      <c r="D721" s="42">
        <f>COUNTIFS(DATA!$AB$3:$AB$7183,"4",DATA!$D$3:$D$7183,280)</f>
        <v>1</v>
      </c>
      <c r="E721" s="35">
        <f>+D721/D722</f>
        <v>3.5714285714285712E-2</v>
      </c>
      <c r="F721" s="42">
        <f t="shared" si="104"/>
        <v>1</v>
      </c>
      <c r="G721" s="35">
        <f>+F721/F722</f>
        <v>1.9230769230769232E-2</v>
      </c>
      <c r="H721" s="181">
        <v>0</v>
      </c>
      <c r="I721" s="180">
        <v>0</v>
      </c>
      <c r="J721" s="182">
        <v>0</v>
      </c>
      <c r="K721" s="181">
        <v>5.5555555555555552E-2</v>
      </c>
      <c r="L721" s="180">
        <v>0</v>
      </c>
      <c r="M721" s="182">
        <v>1.7857142857142856E-2</v>
      </c>
      <c r="N721" s="181">
        <v>0.12</v>
      </c>
      <c r="O721" s="180">
        <v>5.2631578947368418E-2</v>
      </c>
      <c r="P721" s="182">
        <v>7.3170731707317069E-2</v>
      </c>
      <c r="Q721" s="181">
        <v>0.03</v>
      </c>
      <c r="R721" s="180">
        <v>0.05</v>
      </c>
      <c r="S721" s="182">
        <v>0.04</v>
      </c>
      <c r="T721" s="181">
        <v>0</v>
      </c>
      <c r="U721" s="180">
        <v>0</v>
      </c>
      <c r="V721" s="182">
        <v>0</v>
      </c>
      <c r="W721" s="181">
        <v>6.4516129032258063E-2</v>
      </c>
      <c r="X721" s="180">
        <v>0</v>
      </c>
      <c r="Y721" s="182">
        <v>2.7777777777777776E-2</v>
      </c>
      <c r="Z721" s="181">
        <v>0</v>
      </c>
      <c r="AA721" s="180">
        <v>0</v>
      </c>
      <c r="AB721" s="182">
        <v>0</v>
      </c>
      <c r="AC721" s="74"/>
      <c r="AF721" s="162"/>
    </row>
    <row r="722" spans="1:32" s="41" customFormat="1" ht="15.75" thickBot="1" x14ac:dyDescent="0.3">
      <c r="A722" s="111" t="s">
        <v>16</v>
      </c>
      <c r="B722" s="101">
        <f>SUM(B718:B721)</f>
        <v>24</v>
      </c>
      <c r="C722" s="114">
        <f>IF(B722=0,0,+B722/B722)</f>
        <v>1</v>
      </c>
      <c r="D722" s="101">
        <f>SUM(D718:D721)</f>
        <v>28</v>
      </c>
      <c r="E722" s="114">
        <f>+D722/D722</f>
        <v>1</v>
      </c>
      <c r="F722" s="101">
        <f>SUM(F718:F721)</f>
        <v>52</v>
      </c>
      <c r="G722" s="114">
        <f>+F722/F722</f>
        <v>1</v>
      </c>
      <c r="H722" s="183">
        <v>1</v>
      </c>
      <c r="I722" s="184">
        <v>1</v>
      </c>
      <c r="J722" s="185">
        <v>1</v>
      </c>
      <c r="K722" s="183">
        <v>1</v>
      </c>
      <c r="L722" s="184">
        <v>1</v>
      </c>
      <c r="M722" s="185">
        <v>1</v>
      </c>
      <c r="N722" s="183">
        <v>1</v>
      </c>
      <c r="O722" s="184">
        <v>1</v>
      </c>
      <c r="P722" s="185">
        <v>1</v>
      </c>
      <c r="Q722" s="183">
        <v>1</v>
      </c>
      <c r="R722" s="184">
        <v>1</v>
      </c>
      <c r="S722" s="185">
        <v>1</v>
      </c>
      <c r="T722" s="183">
        <v>1</v>
      </c>
      <c r="U722" s="184">
        <v>1</v>
      </c>
      <c r="V722" s="185">
        <v>1</v>
      </c>
      <c r="W722" s="183">
        <v>1</v>
      </c>
      <c r="X722" s="184">
        <v>1</v>
      </c>
      <c r="Y722" s="185">
        <v>1</v>
      </c>
      <c r="Z722" s="183">
        <v>1</v>
      </c>
      <c r="AA722" s="184">
        <v>1</v>
      </c>
      <c r="AB722" s="185">
        <v>1</v>
      </c>
      <c r="AF722" s="162"/>
    </row>
    <row r="723" spans="1:32" s="41" customFormat="1" x14ac:dyDescent="0.2">
      <c r="N723" s="162"/>
    </row>
    <row r="724" spans="1:32" s="41" customFormat="1" x14ac:dyDescent="0.2">
      <c r="N724" s="162"/>
    </row>
    <row r="725" spans="1:32" s="41" customFormat="1" x14ac:dyDescent="0.2">
      <c r="N725" s="162"/>
    </row>
    <row r="726" spans="1:32" s="41" customFormat="1" x14ac:dyDescent="0.2">
      <c r="K726" s="212" t="s">
        <v>139</v>
      </c>
      <c r="L726" s="213"/>
      <c r="M726" s="213"/>
      <c r="N726" s="213"/>
      <c r="O726" s="213"/>
      <c r="P726" s="213"/>
      <c r="Q726" s="213"/>
      <c r="R726" s="213"/>
    </row>
    <row r="727" spans="1:32" s="41" customFormat="1" x14ac:dyDescent="0.2">
      <c r="K727" s="135"/>
      <c r="L727" s="135"/>
      <c r="M727" s="135"/>
      <c r="N727" s="163"/>
      <c r="O727" s="134"/>
      <c r="P727" s="133"/>
      <c r="Q727" s="133"/>
      <c r="R727" s="133"/>
    </row>
    <row r="728" spans="1:32" s="41" customFormat="1" x14ac:dyDescent="0.2">
      <c r="K728" s="221" t="s">
        <v>7153</v>
      </c>
      <c r="L728" s="219"/>
      <c r="M728" s="219"/>
      <c r="N728" s="219"/>
      <c r="O728" s="219"/>
      <c r="P728" s="219"/>
      <c r="Q728" s="219"/>
      <c r="R728" s="219"/>
    </row>
    <row r="729" spans="1:32" s="41" customFormat="1" x14ac:dyDescent="0.2">
      <c r="K729" s="214" t="s">
        <v>7154</v>
      </c>
      <c r="L729" s="215"/>
      <c r="M729" s="215"/>
      <c r="N729" s="215"/>
      <c r="O729" s="215"/>
      <c r="P729" s="215"/>
      <c r="Q729" s="215"/>
      <c r="R729" s="215"/>
    </row>
    <row r="730" spans="1:32" s="41" customFormat="1" x14ac:dyDescent="0.2">
      <c r="N730" s="162"/>
    </row>
    <row r="731" spans="1:32" s="41" customFormat="1" x14ac:dyDescent="0.2">
      <c r="N731" s="162"/>
    </row>
    <row r="732" spans="1:32" s="41" customFormat="1" x14ac:dyDescent="0.2">
      <c r="N732" s="162"/>
    </row>
    <row r="733" spans="1:32" s="41" customFormat="1" x14ac:dyDescent="0.2">
      <c r="N733" s="162"/>
    </row>
    <row r="734" spans="1:32" s="41" customFormat="1" x14ac:dyDescent="0.2">
      <c r="N734" s="162"/>
    </row>
    <row r="735" spans="1:32" s="41" customFormat="1" x14ac:dyDescent="0.2">
      <c r="N735" s="162"/>
    </row>
    <row r="736" spans="1:32" s="41" customFormat="1" x14ac:dyDescent="0.2">
      <c r="N736" s="162"/>
    </row>
    <row r="737" spans="1:32" s="41" customFormat="1" x14ac:dyDescent="0.2">
      <c r="N737" s="162"/>
    </row>
    <row r="738" spans="1:32" s="41" customFormat="1" x14ac:dyDescent="0.2">
      <c r="N738" s="162"/>
    </row>
    <row r="739" spans="1:32" s="41" customFormat="1" x14ac:dyDescent="0.2">
      <c r="N739" s="162"/>
    </row>
    <row r="740" spans="1:32" s="41" customFormat="1" x14ac:dyDescent="0.2">
      <c r="N740" s="162"/>
    </row>
    <row r="741" spans="1:32" s="41" customFormat="1" x14ac:dyDescent="0.2">
      <c r="N741" s="162"/>
    </row>
    <row r="742" spans="1:32" s="41" customFormat="1" x14ac:dyDescent="0.2">
      <c r="N742" s="162"/>
    </row>
    <row r="743" spans="1:32" s="41" customFormat="1" x14ac:dyDescent="0.2">
      <c r="N743" s="162"/>
    </row>
    <row r="744" spans="1:32" s="41" customFormat="1" x14ac:dyDescent="0.2">
      <c r="N744" s="162"/>
    </row>
    <row r="745" spans="1:32" s="41" customFormat="1" x14ac:dyDescent="0.2">
      <c r="N745" s="162"/>
    </row>
    <row r="746" spans="1:32" s="41" customFormat="1" x14ac:dyDescent="0.2">
      <c r="N746" s="162"/>
    </row>
    <row r="747" spans="1:32" s="41" customFormat="1" x14ac:dyDescent="0.2">
      <c r="N747" s="162"/>
    </row>
    <row r="748" spans="1:32" s="41" customFormat="1" x14ac:dyDescent="0.2">
      <c r="N748" s="162"/>
    </row>
    <row r="749" spans="1:32" s="41" customFormat="1" ht="15" thickBot="1" x14ac:dyDescent="0.25">
      <c r="N749" s="162"/>
    </row>
    <row r="750" spans="1:32" s="41" customFormat="1" ht="42" customHeight="1" thickBot="1" x14ac:dyDescent="0.25">
      <c r="A750" s="240" t="s">
        <v>111</v>
      </c>
      <c r="B750" s="241"/>
      <c r="C750" s="241"/>
      <c r="D750" s="241"/>
      <c r="E750" s="241"/>
      <c r="F750" s="241"/>
      <c r="G750" s="242"/>
      <c r="H750" s="74"/>
      <c r="I750" s="74"/>
      <c r="J750" s="74"/>
      <c r="K750" s="74"/>
      <c r="N750" s="162"/>
    </row>
    <row r="751" spans="1:32" s="41" customFormat="1" ht="15.75" thickBot="1" x14ac:dyDescent="0.3">
      <c r="A751" s="28"/>
      <c r="B751" s="234" t="str">
        <f>+B73</f>
        <v>Successful</v>
      </c>
      <c r="C751" s="235"/>
      <c r="D751" s="236" t="str">
        <f>+D73</f>
        <v>Unsuccessful</v>
      </c>
      <c r="E751" s="237"/>
      <c r="F751" s="238" t="s">
        <v>16</v>
      </c>
      <c r="G751" s="239"/>
      <c r="H751" s="206">
        <f>+H716</f>
        <v>2021</v>
      </c>
      <c r="I751" s="207"/>
      <c r="J751" s="208"/>
      <c r="K751" s="206">
        <f>+K716</f>
        <v>2020</v>
      </c>
      <c r="L751" s="207"/>
      <c r="M751" s="208"/>
      <c r="N751" s="206">
        <f>+N716</f>
        <v>2019</v>
      </c>
      <c r="O751" s="207"/>
      <c r="P751" s="208"/>
      <c r="Q751" s="206">
        <f>+Q716</f>
        <v>2018</v>
      </c>
      <c r="R751" s="207"/>
      <c r="S751" s="208"/>
      <c r="T751" s="206">
        <f>+T716</f>
        <v>2017</v>
      </c>
      <c r="U751" s="207"/>
      <c r="V751" s="208"/>
      <c r="W751" s="209">
        <f>+W716</f>
        <v>2016</v>
      </c>
      <c r="X751" s="210"/>
      <c r="Y751" s="211"/>
      <c r="Z751" s="209">
        <f>+Z716</f>
        <v>2015</v>
      </c>
      <c r="AA751" s="210"/>
      <c r="AB751" s="211"/>
      <c r="AC751" s="165"/>
      <c r="AF751" s="162"/>
    </row>
    <row r="752" spans="1:32" s="41" customFormat="1" ht="29.25" customHeight="1" thickBot="1" x14ac:dyDescent="0.25">
      <c r="A752" s="28"/>
      <c r="B752" s="29" t="s">
        <v>37</v>
      </c>
      <c r="C752" s="30" t="s">
        <v>38</v>
      </c>
      <c r="D752" s="29" t="s">
        <v>37</v>
      </c>
      <c r="E752" s="30" t="s">
        <v>38</v>
      </c>
      <c r="F752" s="29" t="s">
        <v>37</v>
      </c>
      <c r="G752" s="30" t="s">
        <v>38</v>
      </c>
      <c r="H752" s="186" t="s">
        <v>132</v>
      </c>
      <c r="I752" s="187" t="s">
        <v>133</v>
      </c>
      <c r="J752" s="44" t="s">
        <v>16</v>
      </c>
      <c r="K752" s="186" t="s">
        <v>132</v>
      </c>
      <c r="L752" s="187" t="s">
        <v>133</v>
      </c>
      <c r="M752" s="44" t="s">
        <v>16</v>
      </c>
      <c r="N752" s="186" t="s">
        <v>132</v>
      </c>
      <c r="O752" s="187" t="s">
        <v>133</v>
      </c>
      <c r="P752" s="44" t="s">
        <v>16</v>
      </c>
      <c r="Q752" s="186" t="s">
        <v>132</v>
      </c>
      <c r="R752" s="187" t="s">
        <v>133</v>
      </c>
      <c r="S752" s="44" t="s">
        <v>16</v>
      </c>
      <c r="T752" s="186" t="s">
        <v>132</v>
      </c>
      <c r="U752" s="187" t="s">
        <v>133</v>
      </c>
      <c r="V752" s="44" t="s">
        <v>16</v>
      </c>
      <c r="W752" s="186" t="s">
        <v>132</v>
      </c>
      <c r="X752" s="187" t="s">
        <v>133</v>
      </c>
      <c r="Y752" s="44" t="s">
        <v>16</v>
      </c>
      <c r="Z752" s="186" t="s">
        <v>132</v>
      </c>
      <c r="AA752" s="187" t="s">
        <v>133</v>
      </c>
      <c r="AB752" s="44" t="s">
        <v>16</v>
      </c>
    </row>
    <row r="753" spans="1:32" s="41" customFormat="1" x14ac:dyDescent="0.2">
      <c r="A753" s="98" t="s">
        <v>134</v>
      </c>
      <c r="B753" s="31">
        <f>COUNTIFS(DATA!$AC$3:$AC$7183,1,DATA!$D$3:$D$7183,260)</f>
        <v>12</v>
      </c>
      <c r="C753" s="35">
        <f>IF(B757=0,0,+B753/B757)</f>
        <v>0.5</v>
      </c>
      <c r="D753" s="31">
        <f>COUNTIFS(DATA!$AC$3:$AC$7183,1,DATA!$D$3:$D$7183,280)</f>
        <v>7</v>
      </c>
      <c r="E753" s="35">
        <f>+D753/D757</f>
        <v>0.25</v>
      </c>
      <c r="F753" s="31">
        <f>+D753+B753</f>
        <v>19</v>
      </c>
      <c r="G753" s="35">
        <f>+F753/F757</f>
        <v>0.36538461538461536</v>
      </c>
      <c r="H753" s="181">
        <v>0.4375</v>
      </c>
      <c r="I753" s="180">
        <v>0.12</v>
      </c>
      <c r="J753" s="182">
        <v>0.24390243902439024</v>
      </c>
      <c r="K753" s="181">
        <v>0.61111111111111116</v>
      </c>
      <c r="L753" s="180">
        <v>0.44736842105263158</v>
      </c>
      <c r="M753" s="182">
        <v>0.5</v>
      </c>
      <c r="N753" s="181">
        <v>0.6</v>
      </c>
      <c r="O753" s="180">
        <v>0.22807017543859648</v>
      </c>
      <c r="P753" s="182">
        <v>0.34146341463414637</v>
      </c>
      <c r="Q753" s="181">
        <v>0.41</v>
      </c>
      <c r="R753" s="180">
        <v>0.17</v>
      </c>
      <c r="S753" s="182">
        <v>0.27</v>
      </c>
      <c r="T753" s="181">
        <v>0.61290322580645162</v>
      </c>
      <c r="U753" s="180">
        <v>0.18604651162790697</v>
      </c>
      <c r="V753" s="182">
        <v>0.36486486486486486</v>
      </c>
      <c r="W753" s="181">
        <v>0.41935483870967744</v>
      </c>
      <c r="X753" s="180">
        <v>0.34146341463414637</v>
      </c>
      <c r="Y753" s="182">
        <v>0.375</v>
      </c>
      <c r="Z753" s="181">
        <v>0.38461538461538464</v>
      </c>
      <c r="AA753" s="180">
        <v>0.22857142857142856</v>
      </c>
      <c r="AB753" s="182">
        <v>0.29508196721311475</v>
      </c>
    </row>
    <row r="754" spans="1:32" s="41" customFormat="1" ht="28.5" customHeight="1" x14ac:dyDescent="0.2">
      <c r="A754" s="99" t="s">
        <v>135</v>
      </c>
      <c r="B754" s="31">
        <f>COUNTIFS(DATA!$AC$3:$AC$7183,2,DATA!$D$3:$D$7183,260)</f>
        <v>10</v>
      </c>
      <c r="C754" s="36">
        <f>IF(B757=0,0,+B754/B757)</f>
        <v>0.41666666666666669</v>
      </c>
      <c r="D754" s="42">
        <f>COUNTIFS(DATA!$AC$3:$AC$7183,2,DATA!$D$3:$D$7183,280)</f>
        <v>12</v>
      </c>
      <c r="E754" s="35">
        <f>+D754/D757</f>
        <v>0.42857142857142855</v>
      </c>
      <c r="F754" s="42">
        <f t="shared" ref="F754:F756" si="105">+D754+B754</f>
        <v>22</v>
      </c>
      <c r="G754" s="35">
        <f>+F754/F757</f>
        <v>0.42307692307692307</v>
      </c>
      <c r="H754" s="181">
        <v>0.5</v>
      </c>
      <c r="I754" s="180">
        <v>0.56000000000000005</v>
      </c>
      <c r="J754" s="182">
        <v>0.53658536585365857</v>
      </c>
      <c r="K754" s="181">
        <v>0.22222222222222221</v>
      </c>
      <c r="L754" s="180">
        <v>0.36842105263157893</v>
      </c>
      <c r="M754" s="182">
        <v>0.32142857142857145</v>
      </c>
      <c r="N754" s="181">
        <v>0.16</v>
      </c>
      <c r="O754" s="180">
        <v>0.38596491228070173</v>
      </c>
      <c r="P754" s="182">
        <v>0.31707317073170732</v>
      </c>
      <c r="Q754" s="181">
        <v>0.38</v>
      </c>
      <c r="R754" s="180">
        <v>0.59</v>
      </c>
      <c r="S754" s="182">
        <v>0.5</v>
      </c>
      <c r="T754" s="181">
        <v>0.32258064516129031</v>
      </c>
      <c r="U754" s="180">
        <v>0.53488372093023251</v>
      </c>
      <c r="V754" s="182">
        <v>0.44594594594594594</v>
      </c>
      <c r="W754" s="181">
        <v>0.29032258064516131</v>
      </c>
      <c r="X754" s="180">
        <v>0.53658536585365857</v>
      </c>
      <c r="Y754" s="182">
        <v>0.43055555555555558</v>
      </c>
      <c r="Z754" s="181">
        <v>0.5</v>
      </c>
      <c r="AA754" s="180">
        <v>0.68571428571428572</v>
      </c>
      <c r="AB754" s="182">
        <v>0.60655737704918034</v>
      </c>
    </row>
    <row r="755" spans="1:32" s="41" customFormat="1" ht="27.75" customHeight="1" x14ac:dyDescent="0.2">
      <c r="A755" s="92" t="s">
        <v>94</v>
      </c>
      <c r="B755" s="31">
        <f>COUNTIFS(DATA!$AC$3:$AC$7183,"3",DATA!$D$3:$D$7183,260)</f>
        <v>2</v>
      </c>
      <c r="C755" s="36">
        <f>IF(B757=0,0,+B755/B757)</f>
        <v>8.3333333333333329E-2</v>
      </c>
      <c r="D755" s="42">
        <f>COUNTIFS(DATA!$AC$3:$AC$7183,"3",DATA!$D$3:$D$7183,280)</f>
        <v>8</v>
      </c>
      <c r="E755" s="35">
        <f>+D755/D757</f>
        <v>0.2857142857142857</v>
      </c>
      <c r="F755" s="42">
        <f t="shared" si="105"/>
        <v>10</v>
      </c>
      <c r="G755" s="35">
        <f>+F755/F757</f>
        <v>0.19230769230769232</v>
      </c>
      <c r="H755" s="181">
        <v>6.25E-2</v>
      </c>
      <c r="I755" s="180">
        <v>0.32</v>
      </c>
      <c r="J755" s="182">
        <v>0.21951219512195122</v>
      </c>
      <c r="K755" s="181">
        <v>0.1111111111111111</v>
      </c>
      <c r="L755" s="180">
        <v>0.15789473684210525</v>
      </c>
      <c r="M755" s="182">
        <v>0.14285714285714285</v>
      </c>
      <c r="N755" s="181">
        <v>0.12</v>
      </c>
      <c r="O755" s="180">
        <v>0.26315789473684209</v>
      </c>
      <c r="P755" s="182">
        <v>0.21951219512195122</v>
      </c>
      <c r="Q755" s="181">
        <v>0.21</v>
      </c>
      <c r="R755" s="180">
        <v>0.2</v>
      </c>
      <c r="S755" s="182">
        <v>0.2</v>
      </c>
      <c r="T755" s="181">
        <v>6.4516129032258063E-2</v>
      </c>
      <c r="U755" s="180">
        <v>0.2558139534883721</v>
      </c>
      <c r="V755" s="182">
        <v>0.17567567567567569</v>
      </c>
      <c r="W755" s="181">
        <v>0.22580645161290322</v>
      </c>
      <c r="X755" s="180">
        <v>7.3170731707317069E-2</v>
      </c>
      <c r="Y755" s="182">
        <v>0.1388888888888889</v>
      </c>
      <c r="Z755" s="181">
        <v>7.6923076923076927E-2</v>
      </c>
      <c r="AA755" s="180">
        <v>8.5714285714285715E-2</v>
      </c>
      <c r="AB755" s="182">
        <v>8.1967213114754092E-2</v>
      </c>
    </row>
    <row r="756" spans="1:32" s="41" customFormat="1" ht="15" thickBot="1" x14ac:dyDescent="0.25">
      <c r="A756" s="93" t="s">
        <v>39</v>
      </c>
      <c r="B756" s="31">
        <f>COUNTIFS(DATA!$AC$3:$AC$7183,"4",DATA!$D$3:$D$7183,260)</f>
        <v>0</v>
      </c>
      <c r="C756" s="36">
        <f>IF(B757=0,0,+B756/B757)</f>
        <v>0</v>
      </c>
      <c r="D756" s="42">
        <f>COUNTIFS(DATA!$AC$3:$AC$7183,"4",DATA!$D$3:$D$7183,280)</f>
        <v>1</v>
      </c>
      <c r="E756" s="35">
        <f>+D756/D757</f>
        <v>3.5714285714285712E-2</v>
      </c>
      <c r="F756" s="42">
        <f t="shared" si="105"/>
        <v>1</v>
      </c>
      <c r="G756" s="35">
        <f>+F756/F757</f>
        <v>1.9230769230769232E-2</v>
      </c>
      <c r="H756" s="181">
        <v>0</v>
      </c>
      <c r="I756" s="180">
        <v>0</v>
      </c>
      <c r="J756" s="182">
        <v>0</v>
      </c>
      <c r="K756" s="181">
        <v>5.5555555555555552E-2</v>
      </c>
      <c r="L756" s="180">
        <v>2.6315789473684209E-2</v>
      </c>
      <c r="M756" s="182">
        <v>3.5714285714285712E-2</v>
      </c>
      <c r="N756" s="181">
        <v>0.12</v>
      </c>
      <c r="O756" s="180">
        <v>0.12280701754385964</v>
      </c>
      <c r="P756" s="182">
        <v>0.12195121951219512</v>
      </c>
      <c r="Q756" s="181">
        <v>0</v>
      </c>
      <c r="R756" s="180">
        <v>0.05</v>
      </c>
      <c r="S756" s="182">
        <v>0.03</v>
      </c>
      <c r="T756" s="181">
        <v>0</v>
      </c>
      <c r="U756" s="180">
        <v>2.3255813953488372E-2</v>
      </c>
      <c r="V756" s="182">
        <v>1.3513513513513514E-2</v>
      </c>
      <c r="W756" s="181">
        <v>6.4516129032258063E-2</v>
      </c>
      <c r="X756" s="180">
        <v>4.878048780487805E-2</v>
      </c>
      <c r="Y756" s="182">
        <v>5.5555555555555552E-2</v>
      </c>
      <c r="Z756" s="181">
        <v>3.8461538461538464E-2</v>
      </c>
      <c r="AA756" s="180">
        <v>0</v>
      </c>
      <c r="AB756" s="182">
        <v>1.6393442622950821E-2</v>
      </c>
      <c r="AC756" s="74"/>
      <c r="AF756" s="162"/>
    </row>
    <row r="757" spans="1:32" s="41" customFormat="1" ht="15.75" thickBot="1" x14ac:dyDescent="0.3">
      <c r="A757" s="111" t="s">
        <v>16</v>
      </c>
      <c r="B757" s="101">
        <f>SUM(B753:B756)</f>
        <v>24</v>
      </c>
      <c r="C757" s="114">
        <f>IF(B757=0,0,+B757/B757)</f>
        <v>1</v>
      </c>
      <c r="D757" s="101">
        <f>SUM(D753:D756)</f>
        <v>28</v>
      </c>
      <c r="E757" s="114">
        <f>+D757/D757</f>
        <v>1</v>
      </c>
      <c r="F757" s="101">
        <f>SUM(F753:F756)</f>
        <v>52</v>
      </c>
      <c r="G757" s="114">
        <f>+F757/F757</f>
        <v>1</v>
      </c>
      <c r="H757" s="183">
        <v>1</v>
      </c>
      <c r="I757" s="184">
        <v>1</v>
      </c>
      <c r="J757" s="185">
        <v>1</v>
      </c>
      <c r="K757" s="183">
        <v>1</v>
      </c>
      <c r="L757" s="184">
        <v>1</v>
      </c>
      <c r="M757" s="185">
        <v>1</v>
      </c>
      <c r="N757" s="183">
        <v>1</v>
      </c>
      <c r="O757" s="184">
        <v>1</v>
      </c>
      <c r="P757" s="185">
        <v>1</v>
      </c>
      <c r="Q757" s="183">
        <v>1</v>
      </c>
      <c r="R757" s="184">
        <v>1</v>
      </c>
      <c r="S757" s="185">
        <v>1</v>
      </c>
      <c r="T757" s="183">
        <v>1</v>
      </c>
      <c r="U757" s="184">
        <v>1</v>
      </c>
      <c r="V757" s="185">
        <v>1</v>
      </c>
      <c r="W757" s="183">
        <v>1</v>
      </c>
      <c r="X757" s="184">
        <v>1</v>
      </c>
      <c r="Y757" s="185">
        <v>1</v>
      </c>
      <c r="Z757" s="183">
        <v>1</v>
      </c>
      <c r="AA757" s="184">
        <v>1</v>
      </c>
      <c r="AB757" s="185">
        <v>1</v>
      </c>
      <c r="AF757" s="162"/>
    </row>
    <row r="758" spans="1:32" s="41" customFormat="1" x14ac:dyDescent="0.2">
      <c r="N758" s="162"/>
    </row>
    <row r="759" spans="1:32" s="41" customFormat="1" x14ac:dyDescent="0.2">
      <c r="N759" s="162"/>
    </row>
    <row r="760" spans="1:32" s="41" customFormat="1" x14ac:dyDescent="0.2">
      <c r="N760" s="162"/>
    </row>
    <row r="761" spans="1:32" s="41" customFormat="1" x14ac:dyDescent="0.2">
      <c r="N761" s="162"/>
    </row>
    <row r="762" spans="1:32" s="41" customFormat="1" ht="14.25" customHeight="1" x14ac:dyDescent="0.2">
      <c r="K762" s="212" t="s">
        <v>139</v>
      </c>
      <c r="L762" s="213"/>
      <c r="M762" s="213"/>
      <c r="N762" s="213"/>
      <c r="O762" s="213"/>
      <c r="P762" s="213"/>
      <c r="Q762" s="213"/>
      <c r="R762" s="213"/>
    </row>
    <row r="763" spans="1:32" s="41" customFormat="1" x14ac:dyDescent="0.2">
      <c r="K763" s="138"/>
      <c r="L763" s="138"/>
      <c r="M763" s="138"/>
      <c r="N763" s="163"/>
      <c r="O763" s="137"/>
      <c r="P763" s="136"/>
      <c r="Q763" s="136"/>
      <c r="R763" s="136"/>
    </row>
    <row r="764" spans="1:32" s="41" customFormat="1" x14ac:dyDescent="0.2">
      <c r="K764" s="221" t="s">
        <v>7155</v>
      </c>
      <c r="L764" s="219"/>
      <c r="M764" s="219"/>
      <c r="N764" s="219"/>
      <c r="O764" s="219"/>
      <c r="P764" s="219"/>
      <c r="Q764" s="219"/>
      <c r="R764" s="219"/>
    </row>
    <row r="765" spans="1:32" s="41" customFormat="1" x14ac:dyDescent="0.2">
      <c r="K765" s="214" t="s">
        <v>7156</v>
      </c>
      <c r="L765" s="215"/>
      <c r="M765" s="215"/>
      <c r="N765" s="215"/>
      <c r="O765" s="215"/>
      <c r="P765" s="215"/>
      <c r="Q765" s="215"/>
      <c r="R765" s="215"/>
    </row>
    <row r="766" spans="1:32" s="41" customFormat="1" x14ac:dyDescent="0.2">
      <c r="N766" s="162"/>
    </row>
    <row r="767" spans="1:32" s="41" customFormat="1" x14ac:dyDescent="0.2">
      <c r="N767" s="162"/>
    </row>
    <row r="768" spans="1:32" s="41" customFormat="1" x14ac:dyDescent="0.2">
      <c r="N768" s="162"/>
    </row>
    <row r="769" spans="14:14" s="41" customFormat="1" x14ac:dyDescent="0.2">
      <c r="N769" s="162"/>
    </row>
    <row r="770" spans="14:14" s="41" customFormat="1" x14ac:dyDescent="0.2">
      <c r="N770" s="162"/>
    </row>
    <row r="771" spans="14:14" s="41" customFormat="1" x14ac:dyDescent="0.2">
      <c r="N771" s="162"/>
    </row>
    <row r="772" spans="14:14" s="41" customFormat="1" x14ac:dyDescent="0.2">
      <c r="N772" s="162"/>
    </row>
    <row r="773" spans="14:14" s="41" customFormat="1" x14ac:dyDescent="0.2">
      <c r="N773" s="162"/>
    </row>
    <row r="774" spans="14:14" s="41" customFormat="1" x14ac:dyDescent="0.2">
      <c r="N774" s="162"/>
    </row>
    <row r="775" spans="14:14" s="41" customFormat="1" x14ac:dyDescent="0.2">
      <c r="N775" s="162"/>
    </row>
    <row r="776" spans="14:14" s="41" customFormat="1" x14ac:dyDescent="0.2">
      <c r="N776" s="162"/>
    </row>
    <row r="777" spans="14:14" s="41" customFormat="1" x14ac:dyDescent="0.2">
      <c r="N777" s="162"/>
    </row>
    <row r="778" spans="14:14" s="41" customFormat="1" x14ac:dyDescent="0.2">
      <c r="N778" s="162"/>
    </row>
    <row r="779" spans="14:14" s="41" customFormat="1" x14ac:dyDescent="0.2">
      <c r="N779" s="162"/>
    </row>
    <row r="780" spans="14:14" s="41" customFormat="1" x14ac:dyDescent="0.2">
      <c r="N780" s="162"/>
    </row>
    <row r="781" spans="14:14" s="41" customFormat="1" x14ac:dyDescent="0.2">
      <c r="N781" s="162"/>
    </row>
    <row r="782" spans="14:14" s="41" customFormat="1" x14ac:dyDescent="0.2">
      <c r="N782" s="162"/>
    </row>
    <row r="783" spans="14:14" s="41" customFormat="1" x14ac:dyDescent="0.2">
      <c r="N783" s="162"/>
    </row>
    <row r="784" spans="14:14" s="41" customFormat="1" ht="15" thickBot="1" x14ac:dyDescent="0.25">
      <c r="N784" s="162"/>
    </row>
    <row r="785" spans="1:32" s="41" customFormat="1" ht="42" customHeight="1" thickBot="1" x14ac:dyDescent="0.25">
      <c r="A785" s="240" t="s">
        <v>112</v>
      </c>
      <c r="B785" s="241"/>
      <c r="C785" s="241"/>
      <c r="D785" s="241"/>
      <c r="E785" s="241"/>
      <c r="F785" s="241"/>
      <c r="G785" s="242"/>
      <c r="H785" s="74"/>
      <c r="I785" s="74"/>
      <c r="J785" s="74"/>
      <c r="K785" s="74"/>
      <c r="N785" s="162"/>
    </row>
    <row r="786" spans="1:32" s="41" customFormat="1" ht="15.75" thickBot="1" x14ac:dyDescent="0.3">
      <c r="A786" s="28"/>
      <c r="B786" s="234" t="str">
        <f>+B73</f>
        <v>Successful</v>
      </c>
      <c r="C786" s="235"/>
      <c r="D786" s="236" t="str">
        <f>+D73</f>
        <v>Unsuccessful</v>
      </c>
      <c r="E786" s="237"/>
      <c r="F786" s="238" t="s">
        <v>16</v>
      </c>
      <c r="G786" s="239"/>
      <c r="H786" s="206">
        <f>+H751</f>
        <v>2021</v>
      </c>
      <c r="I786" s="207"/>
      <c r="J786" s="208"/>
      <c r="K786" s="206">
        <f>+K751</f>
        <v>2020</v>
      </c>
      <c r="L786" s="207"/>
      <c r="M786" s="208"/>
      <c r="N786" s="206">
        <f>+N751</f>
        <v>2019</v>
      </c>
      <c r="O786" s="207"/>
      <c r="P786" s="208"/>
      <c r="Q786" s="206">
        <f>+Q751</f>
        <v>2018</v>
      </c>
      <c r="R786" s="207"/>
      <c r="S786" s="208"/>
      <c r="T786" s="206">
        <f>+T751</f>
        <v>2017</v>
      </c>
      <c r="U786" s="207"/>
      <c r="V786" s="208"/>
      <c r="W786" s="209">
        <f>+W751</f>
        <v>2016</v>
      </c>
      <c r="X786" s="210"/>
      <c r="Y786" s="211"/>
      <c r="Z786" s="209">
        <f>+Z751</f>
        <v>2015</v>
      </c>
      <c r="AA786" s="210"/>
      <c r="AB786" s="211"/>
      <c r="AC786" s="165"/>
      <c r="AF786" s="162"/>
    </row>
    <row r="787" spans="1:32" s="41" customFormat="1" ht="29.25" customHeight="1" thickBot="1" x14ac:dyDescent="0.25">
      <c r="A787" s="28"/>
      <c r="B787" s="29" t="s">
        <v>37</v>
      </c>
      <c r="C787" s="30" t="s">
        <v>38</v>
      </c>
      <c r="D787" s="29" t="s">
        <v>37</v>
      </c>
      <c r="E787" s="30" t="s">
        <v>38</v>
      </c>
      <c r="F787" s="29" t="s">
        <v>37</v>
      </c>
      <c r="G787" s="30" t="s">
        <v>38</v>
      </c>
      <c r="H787" s="186" t="s">
        <v>132</v>
      </c>
      <c r="I787" s="187" t="s">
        <v>133</v>
      </c>
      <c r="J787" s="44" t="s">
        <v>16</v>
      </c>
      <c r="K787" s="186" t="s">
        <v>132</v>
      </c>
      <c r="L787" s="187" t="s">
        <v>133</v>
      </c>
      <c r="M787" s="44" t="s">
        <v>16</v>
      </c>
      <c r="N787" s="186" t="s">
        <v>132</v>
      </c>
      <c r="O787" s="187" t="s">
        <v>133</v>
      </c>
      <c r="P787" s="44" t="s">
        <v>16</v>
      </c>
      <c r="Q787" s="186" t="s">
        <v>132</v>
      </c>
      <c r="R787" s="187" t="s">
        <v>133</v>
      </c>
      <c r="S787" s="44" t="s">
        <v>16</v>
      </c>
      <c r="T787" s="186" t="s">
        <v>132</v>
      </c>
      <c r="U787" s="187" t="s">
        <v>133</v>
      </c>
      <c r="V787" s="44" t="s">
        <v>16</v>
      </c>
      <c r="W787" s="186" t="s">
        <v>132</v>
      </c>
      <c r="X787" s="187" t="s">
        <v>133</v>
      </c>
      <c r="Y787" s="44" t="s">
        <v>16</v>
      </c>
      <c r="Z787" s="186" t="s">
        <v>132</v>
      </c>
      <c r="AA787" s="187" t="s">
        <v>133</v>
      </c>
      <c r="AB787" s="44" t="s">
        <v>16</v>
      </c>
    </row>
    <row r="788" spans="1:32" s="41" customFormat="1" x14ac:dyDescent="0.2">
      <c r="A788" s="98" t="s">
        <v>134</v>
      </c>
      <c r="B788" s="31">
        <f>COUNTIFS(DATA!$AD$3:$AD$7183,1,DATA!$D$3:$D$7183,260)</f>
        <v>10</v>
      </c>
      <c r="C788" s="35">
        <f>IF(B792=0,0,+B788/B792)</f>
        <v>0.41666666666666669</v>
      </c>
      <c r="D788" s="31">
        <f>COUNTIFS(DATA!$AD$3:$AD$7183,1,DATA!$D$3:$D$7183,280)</f>
        <v>6</v>
      </c>
      <c r="E788" s="35">
        <f>+D788/D792</f>
        <v>0.21428571428571427</v>
      </c>
      <c r="F788" s="31">
        <f>+D788+B788</f>
        <v>16</v>
      </c>
      <c r="G788" s="35">
        <f>+F788/F792</f>
        <v>0.30769230769230771</v>
      </c>
      <c r="H788" s="181">
        <v>0.25</v>
      </c>
      <c r="I788" s="180">
        <v>0.12</v>
      </c>
      <c r="J788" s="182">
        <v>0.17073170731707318</v>
      </c>
      <c r="K788" s="181">
        <v>0.5</v>
      </c>
      <c r="L788" s="180">
        <v>0.28947368421052633</v>
      </c>
      <c r="M788" s="182">
        <v>0.35714285714285715</v>
      </c>
      <c r="N788" s="181">
        <v>0.24</v>
      </c>
      <c r="O788" s="180">
        <v>0.21052631578947367</v>
      </c>
      <c r="P788" s="182">
        <v>0.21951219512195122</v>
      </c>
      <c r="Q788" s="181">
        <v>0.45</v>
      </c>
      <c r="R788" s="180">
        <v>0.2</v>
      </c>
      <c r="S788" s="182">
        <v>0.3</v>
      </c>
      <c r="T788" s="181">
        <v>0.41935483870967744</v>
      </c>
      <c r="U788" s="180">
        <v>0.18604651162790697</v>
      </c>
      <c r="V788" s="182">
        <v>0.28378378378378377</v>
      </c>
      <c r="W788" s="181">
        <v>0.32258064516129031</v>
      </c>
      <c r="X788" s="180">
        <v>0.24390243902439024</v>
      </c>
      <c r="Y788" s="182">
        <v>0.27777777777777779</v>
      </c>
      <c r="Z788" s="181">
        <v>0.46153846153846156</v>
      </c>
      <c r="AA788" s="180">
        <v>0.31428571428571428</v>
      </c>
      <c r="AB788" s="182">
        <v>0.37704918032786883</v>
      </c>
    </row>
    <row r="789" spans="1:32" s="41" customFormat="1" ht="29.25" customHeight="1" x14ac:dyDescent="0.2">
      <c r="A789" s="99" t="s">
        <v>135</v>
      </c>
      <c r="B789" s="31">
        <f>COUNTIFS(DATA!$AD$3:$AD$7183,2,DATA!$D$3:$D$7183,260)</f>
        <v>10</v>
      </c>
      <c r="C789" s="35">
        <f>IF(B792=0,0,+B789/B792)</f>
        <v>0.41666666666666669</v>
      </c>
      <c r="D789" s="42">
        <f>COUNTIFS(DATA!$AD$3:$AD$7183,2,DATA!$D$3:$D$7183,280)</f>
        <v>14</v>
      </c>
      <c r="E789" s="35">
        <f>+D789/D792</f>
        <v>0.5</v>
      </c>
      <c r="F789" s="42">
        <f t="shared" ref="F789:F791" si="106">+D789+B789</f>
        <v>24</v>
      </c>
      <c r="G789" s="35">
        <f>+F789/F792</f>
        <v>0.46153846153846156</v>
      </c>
      <c r="H789" s="181">
        <v>0.6875</v>
      </c>
      <c r="I789" s="180">
        <v>0.6</v>
      </c>
      <c r="J789" s="182">
        <v>0.63414634146341464</v>
      </c>
      <c r="K789" s="181">
        <v>0.27777777777777779</v>
      </c>
      <c r="L789" s="180">
        <v>0.44736842105263158</v>
      </c>
      <c r="M789" s="182">
        <v>0.39285714285714285</v>
      </c>
      <c r="N789" s="181">
        <v>0.28000000000000003</v>
      </c>
      <c r="O789" s="180">
        <v>0.40350877192982454</v>
      </c>
      <c r="P789" s="182">
        <v>0.36585365853658536</v>
      </c>
      <c r="Q789" s="181">
        <v>0.38</v>
      </c>
      <c r="R789" s="180">
        <v>0.59</v>
      </c>
      <c r="S789" s="182">
        <v>0.5</v>
      </c>
      <c r="T789" s="181">
        <v>0.41935483870967744</v>
      </c>
      <c r="U789" s="180">
        <v>0.60465116279069764</v>
      </c>
      <c r="V789" s="182">
        <v>0.52702702702702697</v>
      </c>
      <c r="W789" s="181">
        <v>0.35483870967741937</v>
      </c>
      <c r="X789" s="180">
        <v>0.53658536585365857</v>
      </c>
      <c r="Y789" s="182">
        <v>0.45833333333333331</v>
      </c>
      <c r="Z789" s="181">
        <v>0.42307692307692307</v>
      </c>
      <c r="AA789" s="180">
        <v>0.6</v>
      </c>
      <c r="AB789" s="182">
        <v>0.52459016393442626</v>
      </c>
    </row>
    <row r="790" spans="1:32" s="41" customFormat="1" ht="29.25" customHeight="1" x14ac:dyDescent="0.2">
      <c r="A790" s="92" t="s">
        <v>94</v>
      </c>
      <c r="B790" s="31">
        <f>COUNTIFS(DATA!$AD$3:$AD$7183,"3",DATA!$D$3:$D$7183,260)</f>
        <v>4</v>
      </c>
      <c r="C790" s="35">
        <f>IF(B792=0,0,+B790/B792)</f>
        <v>0.16666666666666666</v>
      </c>
      <c r="D790" s="42">
        <f>COUNTIFS(DATA!$AD$3:$AD$7183,"3",DATA!$D$3:$D$7183,280)</f>
        <v>7</v>
      </c>
      <c r="E790" s="35">
        <f>+D790/D792</f>
        <v>0.25</v>
      </c>
      <c r="F790" s="42">
        <f t="shared" si="106"/>
        <v>11</v>
      </c>
      <c r="G790" s="35">
        <f>+F790/F792</f>
        <v>0.21153846153846154</v>
      </c>
      <c r="H790" s="181">
        <v>6.25E-2</v>
      </c>
      <c r="I790" s="180">
        <v>0.28000000000000003</v>
      </c>
      <c r="J790" s="182">
        <v>0.1951219512195122</v>
      </c>
      <c r="K790" s="181">
        <v>0.16666666666666666</v>
      </c>
      <c r="L790" s="180">
        <v>0.21052631578947367</v>
      </c>
      <c r="M790" s="182">
        <v>0.19642857142857142</v>
      </c>
      <c r="N790" s="181">
        <v>0.36</v>
      </c>
      <c r="O790" s="180">
        <v>0.2807017543859649</v>
      </c>
      <c r="P790" s="182">
        <v>0.3048780487804878</v>
      </c>
      <c r="Q790" s="181">
        <v>0.17</v>
      </c>
      <c r="R790" s="180">
        <v>0.17</v>
      </c>
      <c r="S790" s="182">
        <v>0.17</v>
      </c>
      <c r="T790" s="181">
        <v>0.16129032258064516</v>
      </c>
      <c r="U790" s="180">
        <v>0.13953488372093023</v>
      </c>
      <c r="V790" s="182">
        <v>0.14864864864864866</v>
      </c>
      <c r="W790" s="181">
        <v>0.22580645161290322</v>
      </c>
      <c r="X790" s="180">
        <v>0.21951219512195122</v>
      </c>
      <c r="Y790" s="182">
        <v>0.22222222222222221</v>
      </c>
      <c r="Z790" s="181">
        <v>7.6923076923076927E-2</v>
      </c>
      <c r="AA790" s="180">
        <v>8.5714285714285715E-2</v>
      </c>
      <c r="AB790" s="182">
        <v>8.1967213114754092E-2</v>
      </c>
    </row>
    <row r="791" spans="1:32" s="41" customFormat="1" ht="15" thickBot="1" x14ac:dyDescent="0.25">
      <c r="A791" s="93" t="s">
        <v>39</v>
      </c>
      <c r="B791" s="31">
        <f>COUNTIFS(DATA!$AD$3:$AD$7183,"4",DATA!$D$3:$D$7183,260)</f>
        <v>0</v>
      </c>
      <c r="C791" s="35">
        <f>IF(B792=0,0,+B791/B792)</f>
        <v>0</v>
      </c>
      <c r="D791" s="42">
        <f>COUNTIFS(DATA!$AD$3:$AD$7183,"4",DATA!$D$3:$D$7183,280)</f>
        <v>1</v>
      </c>
      <c r="E791" s="35">
        <f>+D791/D792</f>
        <v>3.5714285714285712E-2</v>
      </c>
      <c r="F791" s="42">
        <f t="shared" si="106"/>
        <v>1</v>
      </c>
      <c r="G791" s="35">
        <f>+F791/F792</f>
        <v>1.9230769230769232E-2</v>
      </c>
      <c r="H791" s="181">
        <v>0</v>
      </c>
      <c r="I791" s="180">
        <v>0</v>
      </c>
      <c r="J791" s="182">
        <v>0</v>
      </c>
      <c r="K791" s="181">
        <v>5.5555555555555552E-2</v>
      </c>
      <c r="L791" s="180">
        <v>5.2631578947368418E-2</v>
      </c>
      <c r="M791" s="182">
        <v>5.3571428571428568E-2</v>
      </c>
      <c r="N791" s="181">
        <v>0.12</v>
      </c>
      <c r="O791" s="180">
        <v>0.10526315789473684</v>
      </c>
      <c r="P791" s="182">
        <v>0.10975609756097561</v>
      </c>
      <c r="Q791" s="181">
        <v>0</v>
      </c>
      <c r="R791" s="180">
        <v>0.05</v>
      </c>
      <c r="S791" s="182">
        <v>0.03</v>
      </c>
      <c r="T791" s="181">
        <v>0</v>
      </c>
      <c r="U791" s="180">
        <v>6.9767441860465115E-2</v>
      </c>
      <c r="V791" s="182">
        <v>4.0540540540540543E-2</v>
      </c>
      <c r="W791" s="181">
        <v>9.6774193548387094E-2</v>
      </c>
      <c r="X791" s="180">
        <v>0</v>
      </c>
      <c r="Y791" s="182">
        <v>4.1666666666666664E-2</v>
      </c>
      <c r="Z791" s="181">
        <v>3.8461538461538464E-2</v>
      </c>
      <c r="AA791" s="180">
        <v>0</v>
      </c>
      <c r="AB791" s="182">
        <v>1.6393442622950821E-2</v>
      </c>
      <c r="AC791" s="74"/>
      <c r="AF791" s="162"/>
    </row>
    <row r="792" spans="1:32" s="41" customFormat="1" ht="15.75" thickBot="1" x14ac:dyDescent="0.3">
      <c r="A792" s="111" t="s">
        <v>16</v>
      </c>
      <c r="B792" s="101">
        <f>SUM(B788:B791)</f>
        <v>24</v>
      </c>
      <c r="C792" s="114">
        <f>IF(B792=0,0,+B792/B792)</f>
        <v>1</v>
      </c>
      <c r="D792" s="101">
        <f>SUM(D788:D791)</f>
        <v>28</v>
      </c>
      <c r="E792" s="114">
        <f>+D792/D792</f>
        <v>1</v>
      </c>
      <c r="F792" s="101">
        <f>SUM(F788:F791)</f>
        <v>52</v>
      </c>
      <c r="G792" s="114">
        <f>+F792/F792</f>
        <v>1</v>
      </c>
      <c r="H792" s="183">
        <v>1</v>
      </c>
      <c r="I792" s="184">
        <v>1</v>
      </c>
      <c r="J792" s="185">
        <v>1</v>
      </c>
      <c r="K792" s="183">
        <v>1</v>
      </c>
      <c r="L792" s="184">
        <v>1</v>
      </c>
      <c r="M792" s="185">
        <v>1</v>
      </c>
      <c r="N792" s="183">
        <v>1</v>
      </c>
      <c r="O792" s="184">
        <v>1</v>
      </c>
      <c r="P792" s="185">
        <v>1</v>
      </c>
      <c r="Q792" s="183">
        <v>1</v>
      </c>
      <c r="R792" s="184">
        <v>1</v>
      </c>
      <c r="S792" s="185">
        <v>1</v>
      </c>
      <c r="T792" s="183">
        <v>1</v>
      </c>
      <c r="U792" s="184">
        <v>1</v>
      </c>
      <c r="V792" s="185">
        <v>1</v>
      </c>
      <c r="W792" s="183">
        <v>1</v>
      </c>
      <c r="X792" s="184">
        <v>1</v>
      </c>
      <c r="Y792" s="185">
        <v>1</v>
      </c>
      <c r="Z792" s="183">
        <v>1</v>
      </c>
      <c r="AA792" s="184">
        <v>1</v>
      </c>
      <c r="AB792" s="185">
        <v>1</v>
      </c>
      <c r="AF792" s="162"/>
    </row>
    <row r="793" spans="1:32" s="41" customFormat="1" x14ac:dyDescent="0.2">
      <c r="N793" s="162"/>
    </row>
    <row r="794" spans="1:32" s="41" customFormat="1" x14ac:dyDescent="0.2">
      <c r="N794" s="162"/>
    </row>
    <row r="795" spans="1:32" s="41" customFormat="1" x14ac:dyDescent="0.2">
      <c r="N795" s="162"/>
    </row>
    <row r="796" spans="1:32" s="41" customFormat="1" ht="14.25" customHeight="1" x14ac:dyDescent="0.2">
      <c r="K796" s="212" t="s">
        <v>7162</v>
      </c>
      <c r="L796" s="213"/>
      <c r="M796" s="213"/>
      <c r="N796" s="213"/>
      <c r="O796" s="213"/>
      <c r="P796" s="213"/>
      <c r="Q796" s="213"/>
      <c r="R796" s="213"/>
    </row>
    <row r="797" spans="1:32" s="41" customFormat="1" x14ac:dyDescent="0.2">
      <c r="K797" s="141"/>
      <c r="L797" s="141"/>
      <c r="M797" s="141"/>
      <c r="N797" s="163"/>
      <c r="O797" s="140"/>
      <c r="P797" s="139"/>
      <c r="Q797" s="139"/>
      <c r="R797" s="139"/>
    </row>
    <row r="798" spans="1:32" s="41" customFormat="1" ht="14.25" customHeight="1" x14ac:dyDescent="0.2">
      <c r="K798" s="219" t="s">
        <v>7157</v>
      </c>
      <c r="L798" s="219"/>
      <c r="M798" s="219"/>
      <c r="N798" s="219"/>
      <c r="O798" s="219"/>
      <c r="P798" s="219"/>
      <c r="Q798" s="219"/>
      <c r="R798" s="219"/>
    </row>
    <row r="799" spans="1:32" s="41" customFormat="1" x14ac:dyDescent="0.2">
      <c r="K799" s="219"/>
      <c r="L799" s="219"/>
      <c r="M799" s="219"/>
      <c r="N799" s="219"/>
      <c r="O799" s="219"/>
      <c r="P799" s="219"/>
      <c r="Q799" s="219"/>
      <c r="R799" s="219"/>
    </row>
    <row r="800" spans="1:32" s="41" customFormat="1" ht="14.25" customHeight="1" x14ac:dyDescent="0.2">
      <c r="K800" s="215" t="s">
        <v>7158</v>
      </c>
      <c r="L800" s="215"/>
      <c r="M800" s="215"/>
      <c r="N800" s="215"/>
      <c r="O800" s="215"/>
      <c r="P800" s="215"/>
      <c r="Q800" s="215"/>
      <c r="R800" s="215"/>
    </row>
    <row r="801" spans="11:18" s="41" customFormat="1" x14ac:dyDescent="0.2">
      <c r="K801" s="215"/>
      <c r="L801" s="215"/>
      <c r="M801" s="215"/>
      <c r="N801" s="215"/>
      <c r="O801" s="215"/>
      <c r="P801" s="215"/>
      <c r="Q801" s="215"/>
      <c r="R801" s="215"/>
    </row>
    <row r="802" spans="11:18" s="41" customFormat="1" x14ac:dyDescent="0.2">
      <c r="N802" s="162"/>
    </row>
    <row r="803" spans="11:18" s="41" customFormat="1" x14ac:dyDescent="0.2">
      <c r="N803" s="162"/>
    </row>
    <row r="804" spans="11:18" s="41" customFormat="1" x14ac:dyDescent="0.2">
      <c r="N804" s="162"/>
    </row>
    <row r="805" spans="11:18" s="41" customFormat="1" x14ac:dyDescent="0.2">
      <c r="N805" s="162"/>
    </row>
    <row r="806" spans="11:18" s="41" customFormat="1" x14ac:dyDescent="0.2">
      <c r="N806" s="162"/>
    </row>
    <row r="807" spans="11:18" s="41" customFormat="1" x14ac:dyDescent="0.2">
      <c r="N807" s="162"/>
    </row>
    <row r="808" spans="11:18" s="41" customFormat="1" x14ac:dyDescent="0.2">
      <c r="N808" s="162"/>
    </row>
    <row r="809" spans="11:18" s="41" customFormat="1" x14ac:dyDescent="0.2">
      <c r="N809" s="162"/>
    </row>
    <row r="810" spans="11:18" s="41" customFormat="1" x14ac:dyDescent="0.2">
      <c r="N810" s="162"/>
    </row>
    <row r="811" spans="11:18" s="41" customFormat="1" x14ac:dyDescent="0.2">
      <c r="N811" s="162"/>
    </row>
    <row r="812" spans="11:18" s="41" customFormat="1" x14ac:dyDescent="0.2">
      <c r="N812" s="162"/>
    </row>
    <row r="813" spans="11:18" s="41" customFormat="1" x14ac:dyDescent="0.2">
      <c r="N813" s="162"/>
    </row>
    <row r="814" spans="11:18" s="41" customFormat="1" x14ac:dyDescent="0.2">
      <c r="N814" s="162"/>
    </row>
    <row r="815" spans="11:18" s="41" customFormat="1" x14ac:dyDescent="0.2">
      <c r="N815" s="162"/>
    </row>
    <row r="816" spans="11:18" s="41" customFormat="1" x14ac:dyDescent="0.2">
      <c r="N816" s="162"/>
    </row>
    <row r="817" spans="1:32" s="41" customFormat="1" x14ac:dyDescent="0.2">
      <c r="N817" s="162"/>
    </row>
    <row r="818" spans="1:32" s="41" customFormat="1" x14ac:dyDescent="0.2">
      <c r="N818" s="162"/>
    </row>
    <row r="819" spans="1:32" s="41" customFormat="1" ht="15" thickBot="1" x14ac:dyDescent="0.25">
      <c r="N819" s="162"/>
    </row>
    <row r="820" spans="1:32" s="41" customFormat="1" ht="42" customHeight="1" thickBot="1" x14ac:dyDescent="0.25">
      <c r="A820" s="240" t="s">
        <v>113</v>
      </c>
      <c r="B820" s="241"/>
      <c r="C820" s="241"/>
      <c r="D820" s="241"/>
      <c r="E820" s="241"/>
      <c r="F820" s="241"/>
      <c r="G820" s="242"/>
      <c r="H820" s="74"/>
      <c r="I820" s="74"/>
      <c r="J820" s="74"/>
      <c r="K820" s="74"/>
      <c r="N820" s="162"/>
    </row>
    <row r="821" spans="1:32" s="41" customFormat="1" ht="15.75" thickBot="1" x14ac:dyDescent="0.3">
      <c r="A821" s="28"/>
      <c r="B821" s="234" t="str">
        <f>+B73</f>
        <v>Successful</v>
      </c>
      <c r="C821" s="235"/>
      <c r="D821" s="236" t="str">
        <f>+D73</f>
        <v>Unsuccessful</v>
      </c>
      <c r="E821" s="237"/>
      <c r="F821" s="238" t="s">
        <v>16</v>
      </c>
      <c r="G821" s="239"/>
      <c r="H821" s="206">
        <f>+H786</f>
        <v>2021</v>
      </c>
      <c r="I821" s="207"/>
      <c r="J821" s="208"/>
      <c r="K821" s="206">
        <f>+K786</f>
        <v>2020</v>
      </c>
      <c r="L821" s="207"/>
      <c r="M821" s="208"/>
      <c r="N821" s="206">
        <f>+N786</f>
        <v>2019</v>
      </c>
      <c r="O821" s="207"/>
      <c r="P821" s="208"/>
      <c r="Q821" s="206">
        <f>+Q786</f>
        <v>2018</v>
      </c>
      <c r="R821" s="207"/>
      <c r="S821" s="208"/>
      <c r="T821" s="206">
        <f>+T786</f>
        <v>2017</v>
      </c>
      <c r="U821" s="207"/>
      <c r="V821" s="208"/>
      <c r="W821" s="209">
        <f>+W786</f>
        <v>2016</v>
      </c>
      <c r="X821" s="210"/>
      <c r="Y821" s="211"/>
      <c r="Z821" s="209">
        <f>+Z786</f>
        <v>2015</v>
      </c>
      <c r="AA821" s="210"/>
      <c r="AB821" s="211"/>
      <c r="AC821" s="165"/>
      <c r="AF821" s="162"/>
    </row>
    <row r="822" spans="1:32" s="41" customFormat="1" ht="29.25" customHeight="1" thickBot="1" x14ac:dyDescent="0.25">
      <c r="A822" s="28"/>
      <c r="B822" s="29" t="s">
        <v>37</v>
      </c>
      <c r="C822" s="30" t="s">
        <v>38</v>
      </c>
      <c r="D822" s="29" t="s">
        <v>37</v>
      </c>
      <c r="E822" s="30" t="s">
        <v>38</v>
      </c>
      <c r="F822" s="29" t="s">
        <v>37</v>
      </c>
      <c r="G822" s="30" t="s">
        <v>38</v>
      </c>
      <c r="H822" s="186" t="s">
        <v>132</v>
      </c>
      <c r="I822" s="187" t="s">
        <v>133</v>
      </c>
      <c r="J822" s="44" t="s">
        <v>16</v>
      </c>
      <c r="K822" s="186" t="s">
        <v>132</v>
      </c>
      <c r="L822" s="187" t="s">
        <v>133</v>
      </c>
      <c r="M822" s="44" t="s">
        <v>16</v>
      </c>
      <c r="N822" s="186" t="s">
        <v>132</v>
      </c>
      <c r="O822" s="187" t="s">
        <v>133</v>
      </c>
      <c r="P822" s="44" t="s">
        <v>16</v>
      </c>
      <c r="Q822" s="186" t="s">
        <v>132</v>
      </c>
      <c r="R822" s="187" t="s">
        <v>133</v>
      </c>
      <c r="S822" s="44" t="s">
        <v>16</v>
      </c>
      <c r="T822" s="186" t="s">
        <v>132</v>
      </c>
      <c r="U822" s="187" t="s">
        <v>133</v>
      </c>
      <c r="V822" s="44" t="s">
        <v>16</v>
      </c>
      <c r="W822" s="186" t="s">
        <v>132</v>
      </c>
      <c r="X822" s="187" t="s">
        <v>133</v>
      </c>
      <c r="Y822" s="44" t="s">
        <v>16</v>
      </c>
      <c r="Z822" s="186" t="s">
        <v>132</v>
      </c>
      <c r="AA822" s="187" t="s">
        <v>133</v>
      </c>
      <c r="AB822" s="44" t="s">
        <v>16</v>
      </c>
    </row>
    <row r="823" spans="1:32" s="41" customFormat="1" x14ac:dyDescent="0.2">
      <c r="A823" s="98" t="s">
        <v>134</v>
      </c>
      <c r="B823" s="31">
        <f>COUNTIFS(DATA!$AE$3:$AE$7183,1,DATA!$D$3:$D$7183,260)</f>
        <v>12</v>
      </c>
      <c r="C823" s="35">
        <f>IF(B827=0,0,+B823/B827)</f>
        <v>0.5</v>
      </c>
      <c r="D823" s="31">
        <f>COUNTIFS(DATA!$AE$3:$AE$7183,1,DATA!$D$3:$D$7183,280)</f>
        <v>6</v>
      </c>
      <c r="E823" s="35">
        <f>+D823/D827</f>
        <v>0.21428571428571427</v>
      </c>
      <c r="F823" s="31">
        <f>+D823+B823</f>
        <v>18</v>
      </c>
      <c r="G823" s="35">
        <f>+F823/F827</f>
        <v>0.34615384615384615</v>
      </c>
      <c r="H823" s="181">
        <v>0.25</v>
      </c>
      <c r="I823" s="180">
        <v>0.08</v>
      </c>
      <c r="J823" s="182">
        <v>0.14634146341463414</v>
      </c>
      <c r="K823" s="181">
        <v>0.5</v>
      </c>
      <c r="L823" s="180">
        <v>0.18421052631578946</v>
      </c>
      <c r="M823" s="182">
        <v>0.2857142857142857</v>
      </c>
      <c r="N823" s="181">
        <v>0.44</v>
      </c>
      <c r="O823" s="180">
        <v>0.21052631578947367</v>
      </c>
      <c r="P823" s="182">
        <v>0.28048780487804881</v>
      </c>
      <c r="Q823" s="181">
        <v>0.45</v>
      </c>
      <c r="R823" s="180">
        <v>0.15</v>
      </c>
      <c r="S823" s="182">
        <v>0.27</v>
      </c>
      <c r="T823" s="181">
        <v>0.41935483870967744</v>
      </c>
      <c r="U823" s="180">
        <v>0.16279069767441862</v>
      </c>
      <c r="V823" s="182">
        <v>0.27027027027027029</v>
      </c>
      <c r="W823" s="181">
        <v>0.45161290322580644</v>
      </c>
      <c r="X823" s="180">
        <v>0.1951219512195122</v>
      </c>
      <c r="Y823" s="182">
        <v>0.30555555555555558</v>
      </c>
      <c r="Z823" s="181">
        <v>0.42307692307692307</v>
      </c>
      <c r="AA823" s="180">
        <v>0.22857142857142856</v>
      </c>
      <c r="AB823" s="182">
        <v>0.31147540983606559</v>
      </c>
    </row>
    <row r="824" spans="1:32" s="41" customFormat="1" ht="14.25" customHeight="1" x14ac:dyDescent="0.2">
      <c r="A824" s="99" t="s">
        <v>135</v>
      </c>
      <c r="B824" s="31">
        <f>COUNTIFS(DATA!$AE$3:$AE$7183,2,DATA!$D$3:$D$7183,260)</f>
        <v>9</v>
      </c>
      <c r="C824" s="35">
        <f>IF(B827=0,0,+B824/B827)</f>
        <v>0.375</v>
      </c>
      <c r="D824" s="42">
        <f>COUNTIFS(DATA!$AE$3:$AE$7183,2,DATA!$D$3:$D$7183,280)</f>
        <v>13</v>
      </c>
      <c r="E824" s="35">
        <f>+D824/D827</f>
        <v>0.4642857142857143</v>
      </c>
      <c r="F824" s="42">
        <f t="shared" ref="F824:F826" si="107">+D824+B824</f>
        <v>22</v>
      </c>
      <c r="G824" s="35">
        <f>+F824/F827</f>
        <v>0.42307692307692307</v>
      </c>
      <c r="H824" s="181">
        <v>0.5</v>
      </c>
      <c r="I824" s="180">
        <v>0.64</v>
      </c>
      <c r="J824" s="182">
        <v>0.58536585365853655</v>
      </c>
      <c r="K824" s="181">
        <v>0.27777777777777779</v>
      </c>
      <c r="L824" s="180">
        <v>0.52631578947368418</v>
      </c>
      <c r="M824" s="182">
        <v>0.44642857142857145</v>
      </c>
      <c r="N824" s="181">
        <v>0.24</v>
      </c>
      <c r="O824" s="180">
        <v>0.47368421052631576</v>
      </c>
      <c r="P824" s="182">
        <v>0.40243902439024393</v>
      </c>
      <c r="Q824" s="181">
        <v>0.41</v>
      </c>
      <c r="R824" s="180">
        <v>0.63</v>
      </c>
      <c r="S824" s="182">
        <v>0.54</v>
      </c>
      <c r="T824" s="181">
        <v>0.41935483870967744</v>
      </c>
      <c r="U824" s="180">
        <v>0.65116279069767447</v>
      </c>
      <c r="V824" s="182">
        <v>0.55405405405405406</v>
      </c>
      <c r="W824" s="181">
        <v>0.38709677419354838</v>
      </c>
      <c r="X824" s="180">
        <v>0.70731707317073167</v>
      </c>
      <c r="Y824" s="182">
        <v>0.56944444444444442</v>
      </c>
      <c r="Z824" s="181">
        <v>0.5</v>
      </c>
      <c r="AA824" s="180">
        <v>0.54285714285714282</v>
      </c>
      <c r="AB824" s="182">
        <v>0.52459016393442626</v>
      </c>
    </row>
    <row r="825" spans="1:32" s="41" customFormat="1" ht="14.25" customHeight="1" x14ac:dyDescent="0.2">
      <c r="A825" s="92" t="s">
        <v>94</v>
      </c>
      <c r="B825" s="31">
        <f>COUNTIFS(DATA!$AE$3:$AE$7183,"3",DATA!$D$3:$D$7183,260)</f>
        <v>3</v>
      </c>
      <c r="C825" s="35">
        <f>IF(B827=0,0,+B825/B827)</f>
        <v>0.125</v>
      </c>
      <c r="D825" s="42">
        <f>COUNTIFS(DATA!$AE$3:$AE$7183,"3",DATA!$D$3:$D$7183,280)</f>
        <v>8</v>
      </c>
      <c r="E825" s="35">
        <f>+D825/D827</f>
        <v>0.2857142857142857</v>
      </c>
      <c r="F825" s="42">
        <f t="shared" si="107"/>
        <v>11</v>
      </c>
      <c r="G825" s="35">
        <f>+F825/F827</f>
        <v>0.21153846153846154</v>
      </c>
      <c r="H825" s="181">
        <v>0.25</v>
      </c>
      <c r="I825" s="180">
        <v>0.24</v>
      </c>
      <c r="J825" s="182">
        <v>0.24390243902439024</v>
      </c>
      <c r="K825" s="181">
        <v>0.16666666666666666</v>
      </c>
      <c r="L825" s="180">
        <v>0.26315789473684209</v>
      </c>
      <c r="M825" s="182">
        <v>0.23214285714285715</v>
      </c>
      <c r="N825" s="181">
        <v>0.2</v>
      </c>
      <c r="O825" s="180">
        <v>0.22807017543859648</v>
      </c>
      <c r="P825" s="182">
        <v>0.21951219512195122</v>
      </c>
      <c r="Q825" s="181">
        <v>0.14000000000000001</v>
      </c>
      <c r="R825" s="180">
        <v>0.17</v>
      </c>
      <c r="S825" s="182">
        <v>0.16</v>
      </c>
      <c r="T825" s="181">
        <v>0.16129032258064516</v>
      </c>
      <c r="U825" s="180">
        <v>0.16279069767441862</v>
      </c>
      <c r="V825" s="182">
        <v>0.16216216216216217</v>
      </c>
      <c r="W825" s="181">
        <v>9.6774193548387094E-2</v>
      </c>
      <c r="X825" s="180">
        <v>9.7560975609756101E-2</v>
      </c>
      <c r="Y825" s="182">
        <v>9.7222222222222224E-2</v>
      </c>
      <c r="Z825" s="181">
        <v>7.6923076923076927E-2</v>
      </c>
      <c r="AA825" s="180">
        <v>0.2</v>
      </c>
      <c r="AB825" s="182">
        <v>0.14754098360655737</v>
      </c>
    </row>
    <row r="826" spans="1:32" s="41" customFormat="1" ht="15" thickBot="1" x14ac:dyDescent="0.25">
      <c r="A826" s="93" t="s">
        <v>39</v>
      </c>
      <c r="B826" s="31">
        <f>COUNTIFS(DATA!$AE$3:$AE$7183,"4",DATA!$D$3:$D$7183,260)</f>
        <v>0</v>
      </c>
      <c r="C826" s="35">
        <f>IF(B827=0,0,+B826/B827)</f>
        <v>0</v>
      </c>
      <c r="D826" s="42">
        <f>COUNTIFS(DATA!$AE$3:$AE$7183,"4",DATA!$D$3:$D$7183,280)</f>
        <v>1</v>
      </c>
      <c r="E826" s="35">
        <f>+D826/D827</f>
        <v>3.5714285714285712E-2</v>
      </c>
      <c r="F826" s="42">
        <f t="shared" si="107"/>
        <v>1</v>
      </c>
      <c r="G826" s="35">
        <f>+F826/F827</f>
        <v>1.9230769230769232E-2</v>
      </c>
      <c r="H826" s="181">
        <v>0</v>
      </c>
      <c r="I826" s="180">
        <v>0.04</v>
      </c>
      <c r="J826" s="182">
        <v>2.4390243902439025E-2</v>
      </c>
      <c r="K826" s="181">
        <v>5.5555555555555552E-2</v>
      </c>
      <c r="L826" s="180">
        <v>2.6315789473684209E-2</v>
      </c>
      <c r="M826" s="182">
        <v>3.5714285714285712E-2</v>
      </c>
      <c r="N826" s="181">
        <v>0.12</v>
      </c>
      <c r="O826" s="180">
        <v>8.771929824561403E-2</v>
      </c>
      <c r="P826" s="182">
        <v>9.7560975609756101E-2</v>
      </c>
      <c r="Q826" s="181">
        <v>0</v>
      </c>
      <c r="R826" s="180">
        <v>0.05</v>
      </c>
      <c r="S826" s="182">
        <v>0.03</v>
      </c>
      <c r="T826" s="181">
        <v>0</v>
      </c>
      <c r="U826" s="180">
        <v>2.3255813953488372E-2</v>
      </c>
      <c r="V826" s="182">
        <v>1.3513513513513514E-2</v>
      </c>
      <c r="W826" s="181">
        <v>6.4516129032258063E-2</v>
      </c>
      <c r="X826" s="180">
        <v>0</v>
      </c>
      <c r="Y826" s="182">
        <v>2.7777777777777776E-2</v>
      </c>
      <c r="Z826" s="181">
        <v>0</v>
      </c>
      <c r="AA826" s="180">
        <v>2.8571428571428571E-2</v>
      </c>
      <c r="AB826" s="182">
        <v>1.6393442622950821E-2</v>
      </c>
      <c r="AC826" s="74"/>
      <c r="AF826" s="162"/>
    </row>
    <row r="827" spans="1:32" s="41" customFormat="1" ht="15.75" thickBot="1" x14ac:dyDescent="0.3">
      <c r="A827" s="111" t="s">
        <v>16</v>
      </c>
      <c r="B827" s="101">
        <f>SUM(B823:B826)</f>
        <v>24</v>
      </c>
      <c r="C827" s="114">
        <f>IF(B827=0,0,+B827/B827)</f>
        <v>1</v>
      </c>
      <c r="D827" s="101">
        <f>SUM(D823:D826)</f>
        <v>28</v>
      </c>
      <c r="E827" s="114">
        <f>+D827/D827</f>
        <v>1</v>
      </c>
      <c r="F827" s="101">
        <f>SUM(F823:F826)</f>
        <v>52</v>
      </c>
      <c r="G827" s="114">
        <f>+F827/F827</f>
        <v>1</v>
      </c>
      <c r="H827" s="183">
        <v>1</v>
      </c>
      <c r="I827" s="184">
        <v>1</v>
      </c>
      <c r="J827" s="185">
        <v>1</v>
      </c>
      <c r="K827" s="183">
        <v>1</v>
      </c>
      <c r="L827" s="184">
        <v>1</v>
      </c>
      <c r="M827" s="185">
        <v>1</v>
      </c>
      <c r="N827" s="183">
        <v>1</v>
      </c>
      <c r="O827" s="184">
        <v>1</v>
      </c>
      <c r="P827" s="185">
        <v>1</v>
      </c>
      <c r="Q827" s="183">
        <v>1</v>
      </c>
      <c r="R827" s="184">
        <v>1</v>
      </c>
      <c r="S827" s="185">
        <v>1</v>
      </c>
      <c r="T827" s="183">
        <v>1</v>
      </c>
      <c r="U827" s="184">
        <v>1</v>
      </c>
      <c r="V827" s="185">
        <v>1</v>
      </c>
      <c r="W827" s="183">
        <v>1</v>
      </c>
      <c r="X827" s="184">
        <v>1</v>
      </c>
      <c r="Y827" s="185">
        <v>1</v>
      </c>
      <c r="Z827" s="183">
        <v>1</v>
      </c>
      <c r="AA827" s="184">
        <v>1</v>
      </c>
      <c r="AB827" s="185">
        <v>1</v>
      </c>
      <c r="AF827" s="162"/>
    </row>
    <row r="828" spans="1:32" s="41" customFormat="1" x14ac:dyDescent="0.2">
      <c r="N828" s="162"/>
    </row>
    <row r="829" spans="1:32" s="41" customFormat="1" x14ac:dyDescent="0.2">
      <c r="N829" s="162"/>
    </row>
    <row r="830" spans="1:32" s="41" customFormat="1" x14ac:dyDescent="0.2">
      <c r="N830" s="162"/>
    </row>
    <row r="831" spans="1:32" s="41" customFormat="1" ht="14.25" customHeight="1" x14ac:dyDescent="0.2">
      <c r="K831" s="213" t="s">
        <v>7161</v>
      </c>
      <c r="L831" s="213"/>
      <c r="M831" s="213"/>
      <c r="N831" s="213"/>
      <c r="O831" s="213"/>
      <c r="P831" s="213"/>
      <c r="Q831" s="213"/>
      <c r="R831" s="213"/>
    </row>
    <row r="832" spans="1:32" s="41" customFormat="1" x14ac:dyDescent="0.2">
      <c r="K832" s="213"/>
      <c r="L832" s="213"/>
      <c r="M832" s="213"/>
      <c r="N832" s="213"/>
      <c r="O832" s="213"/>
      <c r="P832" s="213"/>
      <c r="Q832" s="213"/>
      <c r="R832" s="213"/>
    </row>
    <row r="833" spans="11:18" s="41" customFormat="1" x14ac:dyDescent="0.2">
      <c r="K833" s="221" t="s">
        <v>7159</v>
      </c>
      <c r="L833" s="219"/>
      <c r="M833" s="219"/>
      <c r="N833" s="219"/>
      <c r="O833" s="219"/>
      <c r="P833" s="219"/>
      <c r="Q833" s="219"/>
      <c r="R833" s="219"/>
    </row>
    <row r="834" spans="11:18" s="41" customFormat="1" x14ac:dyDescent="0.2">
      <c r="K834" s="214" t="s">
        <v>7160</v>
      </c>
      <c r="L834" s="215"/>
      <c r="M834" s="215"/>
      <c r="N834" s="215"/>
      <c r="O834" s="215"/>
      <c r="P834" s="215"/>
      <c r="Q834" s="215"/>
      <c r="R834" s="215"/>
    </row>
    <row r="835" spans="11:18" s="41" customFormat="1" x14ac:dyDescent="0.2">
      <c r="N835" s="162"/>
    </row>
    <row r="836" spans="11:18" s="41" customFormat="1" x14ac:dyDescent="0.2">
      <c r="N836" s="162"/>
    </row>
    <row r="837" spans="11:18" s="41" customFormat="1" x14ac:dyDescent="0.2">
      <c r="N837" s="162"/>
    </row>
    <row r="838" spans="11:18" s="41" customFormat="1" x14ac:dyDescent="0.2">
      <c r="N838" s="162"/>
    </row>
    <row r="839" spans="11:18" s="41" customFormat="1" x14ac:dyDescent="0.2">
      <c r="N839" s="162"/>
    </row>
    <row r="840" spans="11:18" s="41" customFormat="1" x14ac:dyDescent="0.2">
      <c r="N840" s="162"/>
    </row>
    <row r="841" spans="11:18" s="41" customFormat="1" x14ac:dyDescent="0.2">
      <c r="N841" s="162"/>
    </row>
    <row r="842" spans="11:18" s="41" customFormat="1" x14ac:dyDescent="0.2">
      <c r="N842" s="162"/>
    </row>
    <row r="843" spans="11:18" s="41" customFormat="1" x14ac:dyDescent="0.2">
      <c r="N843" s="162"/>
    </row>
    <row r="844" spans="11:18" s="41" customFormat="1" x14ac:dyDescent="0.2">
      <c r="N844" s="162"/>
    </row>
    <row r="845" spans="11:18" s="41" customFormat="1" x14ac:dyDescent="0.2">
      <c r="N845" s="162"/>
    </row>
    <row r="846" spans="11:18" s="41" customFormat="1" x14ac:dyDescent="0.2">
      <c r="N846" s="162"/>
    </row>
    <row r="847" spans="11:18" s="41" customFormat="1" x14ac:dyDescent="0.2">
      <c r="N847" s="162"/>
    </row>
    <row r="848" spans="11:18" s="41" customFormat="1" x14ac:dyDescent="0.2">
      <c r="N848" s="162"/>
    </row>
    <row r="849" spans="1:32" s="41" customFormat="1" x14ac:dyDescent="0.2">
      <c r="N849" s="162"/>
    </row>
    <row r="850" spans="1:32" s="41" customFormat="1" x14ac:dyDescent="0.2">
      <c r="N850" s="162"/>
    </row>
    <row r="851" spans="1:32" s="41" customFormat="1" x14ac:dyDescent="0.2">
      <c r="N851" s="162"/>
    </row>
    <row r="852" spans="1:32" s="41" customFormat="1" x14ac:dyDescent="0.2">
      <c r="N852" s="162"/>
    </row>
    <row r="853" spans="1:32" s="41" customFormat="1" x14ac:dyDescent="0.2">
      <c r="N853" s="162"/>
    </row>
    <row r="854" spans="1:32" s="41" customFormat="1" ht="15" thickBot="1" x14ac:dyDescent="0.25">
      <c r="N854" s="162"/>
    </row>
    <row r="855" spans="1:32" s="41" customFormat="1" ht="42" customHeight="1" thickBot="1" x14ac:dyDescent="0.25">
      <c r="A855" s="240" t="s">
        <v>114</v>
      </c>
      <c r="B855" s="241"/>
      <c r="C855" s="241"/>
      <c r="D855" s="241"/>
      <c r="E855" s="241"/>
      <c r="F855" s="241"/>
      <c r="G855" s="242"/>
      <c r="H855" s="74"/>
      <c r="I855" s="74"/>
      <c r="J855" s="74"/>
      <c r="K855" s="74"/>
      <c r="N855" s="162"/>
    </row>
    <row r="856" spans="1:32" s="41" customFormat="1" ht="15.75" thickBot="1" x14ac:dyDescent="0.3">
      <c r="A856" s="28"/>
      <c r="B856" s="234" t="str">
        <f>+B73</f>
        <v>Successful</v>
      </c>
      <c r="C856" s="235"/>
      <c r="D856" s="236" t="str">
        <f>+D73</f>
        <v>Unsuccessful</v>
      </c>
      <c r="E856" s="237"/>
      <c r="F856" s="238" t="s">
        <v>16</v>
      </c>
      <c r="G856" s="239"/>
      <c r="H856" s="206">
        <f>+H821</f>
        <v>2021</v>
      </c>
      <c r="I856" s="207"/>
      <c r="J856" s="208"/>
      <c r="K856" s="206">
        <f>+K821</f>
        <v>2020</v>
      </c>
      <c r="L856" s="207"/>
      <c r="M856" s="208"/>
      <c r="N856" s="206">
        <f>+N821</f>
        <v>2019</v>
      </c>
      <c r="O856" s="207"/>
      <c r="P856" s="208"/>
      <c r="Q856" s="206">
        <f>+Q821</f>
        <v>2018</v>
      </c>
      <c r="R856" s="207"/>
      <c r="S856" s="208"/>
      <c r="T856" s="206">
        <f>+T821</f>
        <v>2017</v>
      </c>
      <c r="U856" s="207"/>
      <c r="V856" s="208"/>
      <c r="W856" s="209">
        <f>+W821</f>
        <v>2016</v>
      </c>
      <c r="X856" s="210"/>
      <c r="Y856" s="211"/>
      <c r="Z856" s="209">
        <f>+Z821</f>
        <v>2015</v>
      </c>
      <c r="AA856" s="210"/>
      <c r="AB856" s="211"/>
      <c r="AC856" s="165"/>
      <c r="AF856" s="162"/>
    </row>
    <row r="857" spans="1:32" s="41" customFormat="1" ht="29.25" customHeight="1" thickBot="1" x14ac:dyDescent="0.25">
      <c r="A857" s="28"/>
      <c r="B857" s="29" t="s">
        <v>37</v>
      </c>
      <c r="C857" s="30" t="s">
        <v>38</v>
      </c>
      <c r="D857" s="29" t="s">
        <v>37</v>
      </c>
      <c r="E857" s="30" t="s">
        <v>38</v>
      </c>
      <c r="F857" s="29" t="s">
        <v>37</v>
      </c>
      <c r="G857" s="30" t="s">
        <v>38</v>
      </c>
      <c r="H857" s="186" t="s">
        <v>132</v>
      </c>
      <c r="I857" s="187" t="s">
        <v>133</v>
      </c>
      <c r="J857" s="44" t="s">
        <v>16</v>
      </c>
      <c r="K857" s="186" t="s">
        <v>132</v>
      </c>
      <c r="L857" s="187" t="s">
        <v>133</v>
      </c>
      <c r="M857" s="44" t="s">
        <v>16</v>
      </c>
      <c r="N857" s="186" t="s">
        <v>132</v>
      </c>
      <c r="O857" s="187" t="s">
        <v>133</v>
      </c>
      <c r="P857" s="44" t="s">
        <v>16</v>
      </c>
      <c r="Q857" s="186" t="s">
        <v>132</v>
      </c>
      <c r="R857" s="187" t="s">
        <v>133</v>
      </c>
      <c r="S857" s="44" t="s">
        <v>16</v>
      </c>
      <c r="T857" s="186" t="s">
        <v>132</v>
      </c>
      <c r="U857" s="187" t="s">
        <v>133</v>
      </c>
      <c r="V857" s="44" t="s">
        <v>16</v>
      </c>
      <c r="W857" s="186" t="s">
        <v>132</v>
      </c>
      <c r="X857" s="187" t="s">
        <v>133</v>
      </c>
      <c r="Y857" s="44" t="s">
        <v>16</v>
      </c>
      <c r="Z857" s="186" t="s">
        <v>132</v>
      </c>
      <c r="AA857" s="187" t="s">
        <v>133</v>
      </c>
      <c r="AB857" s="44" t="s">
        <v>16</v>
      </c>
    </row>
    <row r="858" spans="1:32" s="41" customFormat="1" x14ac:dyDescent="0.2">
      <c r="A858" s="98" t="s">
        <v>134</v>
      </c>
      <c r="B858" s="31">
        <f>COUNTIFS(DATA!$AF$3:$AF$7183,1,DATA!$D$3:$D$7183,260)</f>
        <v>5</v>
      </c>
      <c r="C858" s="35">
        <f>IF(B862=0,0,+B858/B862)</f>
        <v>0.20833333333333334</v>
      </c>
      <c r="D858" s="31">
        <f>COUNTIFS(DATA!$AF$3:$AF$7183,1,DATA!$D$3:$D$7183,280)</f>
        <v>5</v>
      </c>
      <c r="E858" s="35">
        <f>+D858/D862</f>
        <v>0.17857142857142858</v>
      </c>
      <c r="F858" s="31">
        <f>+D858+B858</f>
        <v>10</v>
      </c>
      <c r="G858" s="35">
        <f>+F858/F862</f>
        <v>0.19230769230769232</v>
      </c>
      <c r="H858" s="181">
        <v>0.1875</v>
      </c>
      <c r="I858" s="180">
        <v>0.08</v>
      </c>
      <c r="J858" s="182">
        <v>0.12195121951219512</v>
      </c>
      <c r="K858" s="181">
        <v>0.22222222222222221</v>
      </c>
      <c r="L858" s="180">
        <v>0.15789473684210525</v>
      </c>
      <c r="M858" s="182">
        <v>0.17857142857142858</v>
      </c>
      <c r="N858" s="181">
        <v>0.2</v>
      </c>
      <c r="O858" s="180">
        <v>0.2807017543859649</v>
      </c>
      <c r="P858" s="182">
        <v>0.25609756097560976</v>
      </c>
      <c r="Q858" s="181">
        <v>0.38</v>
      </c>
      <c r="R858" s="180">
        <v>0.12</v>
      </c>
      <c r="S858" s="182">
        <v>0.23</v>
      </c>
      <c r="T858" s="181">
        <v>0.35483870967741937</v>
      </c>
      <c r="U858" s="180">
        <v>0.11627906976744186</v>
      </c>
      <c r="V858" s="182">
        <v>0.21621621621621623</v>
      </c>
      <c r="W858" s="181">
        <v>0.22580645161290322</v>
      </c>
      <c r="X858" s="180">
        <v>0.1951219512195122</v>
      </c>
      <c r="Y858" s="182">
        <v>0.20833333333333334</v>
      </c>
      <c r="Z858" s="181">
        <v>0.26923076923076922</v>
      </c>
      <c r="AA858" s="180">
        <v>0.17142857142857143</v>
      </c>
      <c r="AB858" s="182">
        <v>0.21311475409836064</v>
      </c>
    </row>
    <row r="859" spans="1:32" s="41" customFormat="1" ht="28.5" customHeight="1" x14ac:dyDescent="0.2">
      <c r="A859" s="99" t="s">
        <v>135</v>
      </c>
      <c r="B859" s="31">
        <f>COUNTIFS(DATA!$AF$3:$AF$7183,2,DATA!$D$3:$D$7183,260)</f>
        <v>14</v>
      </c>
      <c r="C859" s="35">
        <f>IF(B862=0,0,+B859/B862)</f>
        <v>0.58333333333333337</v>
      </c>
      <c r="D859" s="42">
        <f>COUNTIFS(DATA!$AF$3:$AF$7183,2,DATA!$D$3:$D$7183,280)</f>
        <v>15</v>
      </c>
      <c r="E859" s="35">
        <f>+D859/D862</f>
        <v>0.5357142857142857</v>
      </c>
      <c r="F859" s="42">
        <f t="shared" ref="F859:F861" si="108">+D859+B859</f>
        <v>29</v>
      </c>
      <c r="G859" s="35">
        <f>+F859/F862</f>
        <v>0.55769230769230771</v>
      </c>
      <c r="H859" s="181">
        <v>0.6875</v>
      </c>
      <c r="I859" s="180">
        <v>0.64</v>
      </c>
      <c r="J859" s="182">
        <v>0.65853658536585369</v>
      </c>
      <c r="K859" s="181">
        <v>0.3888888888888889</v>
      </c>
      <c r="L859" s="180">
        <v>0.57894736842105265</v>
      </c>
      <c r="M859" s="182">
        <v>0.5178571428571429</v>
      </c>
      <c r="N859" s="181">
        <v>0.48</v>
      </c>
      <c r="O859" s="180">
        <v>0.49122807017543857</v>
      </c>
      <c r="P859" s="182">
        <v>0.48780487804878048</v>
      </c>
      <c r="Q859" s="181">
        <v>0.48</v>
      </c>
      <c r="R859" s="180">
        <v>0.66</v>
      </c>
      <c r="S859" s="182">
        <v>0.59</v>
      </c>
      <c r="T859" s="181">
        <v>0.5161290322580645</v>
      </c>
      <c r="U859" s="180">
        <v>0.72093023255813948</v>
      </c>
      <c r="V859" s="182">
        <v>0.63513513513513509</v>
      </c>
      <c r="W859" s="181">
        <v>0.4838709677419355</v>
      </c>
      <c r="X859" s="180">
        <v>0.68292682926829273</v>
      </c>
      <c r="Y859" s="182">
        <v>0.59722222222222221</v>
      </c>
      <c r="Z859" s="181">
        <v>0.61538461538461542</v>
      </c>
      <c r="AA859" s="180">
        <v>0.7142857142857143</v>
      </c>
      <c r="AB859" s="182">
        <v>0.67213114754098358</v>
      </c>
    </row>
    <row r="860" spans="1:32" s="41" customFormat="1" ht="28.5" customHeight="1" x14ac:dyDescent="0.2">
      <c r="A860" s="92" t="s">
        <v>94</v>
      </c>
      <c r="B860" s="31">
        <f>COUNTIFS(DATA!$AF$3:$AF$7183,"3",DATA!$D$3:$D$7183,260)</f>
        <v>5</v>
      </c>
      <c r="C860" s="35">
        <f>IF(B862=0,0,+B860/B862)</f>
        <v>0.20833333333333334</v>
      </c>
      <c r="D860" s="42">
        <f>COUNTIFS(DATA!$AF$3:$AF$7183,"3",DATA!$D$3:$D$7183,280)</f>
        <v>6</v>
      </c>
      <c r="E860" s="35">
        <f>+D860/D862</f>
        <v>0.21428571428571427</v>
      </c>
      <c r="F860" s="42">
        <f t="shared" si="108"/>
        <v>11</v>
      </c>
      <c r="G860" s="35">
        <f>+F860/F862</f>
        <v>0.21153846153846154</v>
      </c>
      <c r="H860" s="181">
        <v>0.125</v>
      </c>
      <c r="I860" s="180">
        <v>0.24</v>
      </c>
      <c r="J860" s="182">
        <v>0.1951219512195122</v>
      </c>
      <c r="K860" s="181">
        <v>0.27777777777777779</v>
      </c>
      <c r="L860" s="180">
        <v>0.23684210526315788</v>
      </c>
      <c r="M860" s="182">
        <v>0.25</v>
      </c>
      <c r="N860" s="181">
        <v>0.2</v>
      </c>
      <c r="O860" s="180">
        <v>0.15789473684210525</v>
      </c>
      <c r="P860" s="182">
        <v>0.17073170731707318</v>
      </c>
      <c r="Q860" s="181">
        <v>0.14000000000000001</v>
      </c>
      <c r="R860" s="180">
        <v>0.17</v>
      </c>
      <c r="S860" s="182">
        <v>0.16</v>
      </c>
      <c r="T860" s="181">
        <v>9.6774193548387094E-2</v>
      </c>
      <c r="U860" s="180">
        <v>0.11627906976744186</v>
      </c>
      <c r="V860" s="182">
        <v>0.10810810810810811</v>
      </c>
      <c r="W860" s="181">
        <v>0.22580645161290322</v>
      </c>
      <c r="X860" s="180">
        <v>0.12195121951219512</v>
      </c>
      <c r="Y860" s="182">
        <v>0.16666666666666666</v>
      </c>
      <c r="Z860" s="181">
        <v>0.11538461538461539</v>
      </c>
      <c r="AA860" s="180">
        <v>0.11428571428571428</v>
      </c>
      <c r="AB860" s="182">
        <v>0.11475409836065574</v>
      </c>
    </row>
    <row r="861" spans="1:32" s="41" customFormat="1" ht="15" thickBot="1" x14ac:dyDescent="0.25">
      <c r="A861" s="93" t="s">
        <v>39</v>
      </c>
      <c r="B861" s="31">
        <f>COUNTIFS(DATA!$AF$3:$AF$7183,"4",DATA!$D$3:$D$7183,260)</f>
        <v>0</v>
      </c>
      <c r="C861" s="35">
        <f>IF(B862=0,0,+B861/B862)</f>
        <v>0</v>
      </c>
      <c r="D861" s="42">
        <f>COUNTIFS(DATA!$AF$3:$AF$7183,"4",DATA!$D$3:$D$7183,280)</f>
        <v>2</v>
      </c>
      <c r="E861" s="35">
        <f>+D861/D862</f>
        <v>7.1428571428571425E-2</v>
      </c>
      <c r="F861" s="42">
        <f t="shared" si="108"/>
        <v>2</v>
      </c>
      <c r="G861" s="35">
        <f>+F861/F862</f>
        <v>3.8461538461538464E-2</v>
      </c>
      <c r="H861" s="181">
        <v>0</v>
      </c>
      <c r="I861" s="180">
        <v>0.04</v>
      </c>
      <c r="J861" s="182">
        <v>2.4390243902439025E-2</v>
      </c>
      <c r="K861" s="181">
        <v>0.1111111111111111</v>
      </c>
      <c r="L861" s="180">
        <v>2.6315789473684209E-2</v>
      </c>
      <c r="M861" s="182">
        <v>5.3571428571428568E-2</v>
      </c>
      <c r="N861" s="181">
        <v>0.12</v>
      </c>
      <c r="O861" s="180">
        <v>7.0175438596491224E-2</v>
      </c>
      <c r="P861" s="182">
        <v>8.5365853658536592E-2</v>
      </c>
      <c r="Q861" s="181">
        <v>0</v>
      </c>
      <c r="R861" s="180">
        <v>0.05</v>
      </c>
      <c r="S861" s="182">
        <v>0.03</v>
      </c>
      <c r="T861" s="181">
        <v>3.2258064516129031E-2</v>
      </c>
      <c r="U861" s="180">
        <v>4.6511627906976744E-2</v>
      </c>
      <c r="V861" s="182">
        <v>4.0540540540540543E-2</v>
      </c>
      <c r="W861" s="181">
        <v>6.4516129032258063E-2</v>
      </c>
      <c r="X861" s="180">
        <v>0</v>
      </c>
      <c r="Y861" s="182">
        <v>2.7777777777777776E-2</v>
      </c>
      <c r="Z861" s="181">
        <v>0</v>
      </c>
      <c r="AA861" s="180">
        <v>0</v>
      </c>
      <c r="AB861" s="182">
        <v>0</v>
      </c>
      <c r="AC861" s="74"/>
      <c r="AF861" s="162"/>
    </row>
    <row r="862" spans="1:32" s="41" customFormat="1" ht="15.75" thickBot="1" x14ac:dyDescent="0.3">
      <c r="A862" s="111" t="s">
        <v>16</v>
      </c>
      <c r="B862" s="101">
        <f>SUM(B858:B861)</f>
        <v>24</v>
      </c>
      <c r="C862" s="114">
        <f>IF(B862=0,0,+B862/B862)</f>
        <v>1</v>
      </c>
      <c r="D862" s="101">
        <f>SUM(D858:D861)</f>
        <v>28</v>
      </c>
      <c r="E862" s="114">
        <f>+D862/D862</f>
        <v>1</v>
      </c>
      <c r="F862" s="101">
        <f>SUM(F858:F861)</f>
        <v>52</v>
      </c>
      <c r="G862" s="114">
        <f>+F862/F862</f>
        <v>1</v>
      </c>
      <c r="H862" s="183">
        <v>1</v>
      </c>
      <c r="I862" s="184">
        <v>1</v>
      </c>
      <c r="J862" s="185">
        <v>1</v>
      </c>
      <c r="K862" s="183">
        <v>1</v>
      </c>
      <c r="L862" s="184">
        <v>1</v>
      </c>
      <c r="M862" s="185">
        <v>1</v>
      </c>
      <c r="N862" s="183">
        <v>1</v>
      </c>
      <c r="O862" s="184">
        <v>1</v>
      </c>
      <c r="P862" s="185">
        <v>1</v>
      </c>
      <c r="Q862" s="183">
        <v>1</v>
      </c>
      <c r="R862" s="184">
        <v>1</v>
      </c>
      <c r="S862" s="185">
        <v>1</v>
      </c>
      <c r="T862" s="183">
        <v>1</v>
      </c>
      <c r="U862" s="184">
        <v>1</v>
      </c>
      <c r="V862" s="185">
        <v>1</v>
      </c>
      <c r="W862" s="183">
        <v>1</v>
      </c>
      <c r="X862" s="184">
        <v>1</v>
      </c>
      <c r="Y862" s="185">
        <v>1</v>
      </c>
      <c r="Z862" s="183">
        <v>1</v>
      </c>
      <c r="AA862" s="184">
        <v>1</v>
      </c>
      <c r="AB862" s="185">
        <v>1</v>
      </c>
      <c r="AF862" s="162"/>
    </row>
    <row r="863" spans="1:32" s="41" customFormat="1" x14ac:dyDescent="0.2">
      <c r="N863" s="162"/>
    </row>
    <row r="864" spans="1:32" s="41" customFormat="1" x14ac:dyDescent="0.2">
      <c r="N864" s="162"/>
    </row>
    <row r="865" spans="11:18" s="41" customFormat="1" x14ac:dyDescent="0.2">
      <c r="N865" s="162"/>
    </row>
    <row r="866" spans="11:18" s="41" customFormat="1" ht="14.25" customHeight="1" x14ac:dyDescent="0.2">
      <c r="K866" s="213" t="s">
        <v>7101</v>
      </c>
      <c r="L866" s="213"/>
      <c r="M866" s="213"/>
      <c r="N866" s="213"/>
      <c r="O866" s="213"/>
      <c r="P866" s="213"/>
      <c r="Q866" s="213"/>
      <c r="R866" s="213"/>
    </row>
    <row r="867" spans="11:18" s="41" customFormat="1" x14ac:dyDescent="0.2">
      <c r="K867" s="213"/>
      <c r="L867" s="213"/>
      <c r="M867" s="213"/>
      <c r="N867" s="213"/>
      <c r="O867" s="213"/>
      <c r="P867" s="213"/>
      <c r="Q867" s="213"/>
      <c r="R867" s="213"/>
    </row>
    <row r="868" spans="11:18" s="41" customFormat="1" ht="14.25" customHeight="1" x14ac:dyDescent="0.2">
      <c r="K868" s="219" t="s">
        <v>7163</v>
      </c>
      <c r="L868" s="219"/>
      <c r="M868" s="219"/>
      <c r="N868" s="219"/>
      <c r="O868" s="219"/>
      <c r="P868" s="219"/>
      <c r="Q868" s="219"/>
      <c r="R868" s="219"/>
    </row>
    <row r="869" spans="11:18" s="41" customFormat="1" x14ac:dyDescent="0.2">
      <c r="K869" s="219"/>
      <c r="L869" s="219"/>
      <c r="M869" s="219"/>
      <c r="N869" s="219"/>
      <c r="O869" s="219"/>
      <c r="P869" s="219"/>
      <c r="Q869" s="219"/>
      <c r="R869" s="219"/>
    </row>
    <row r="870" spans="11:18" s="41" customFormat="1" ht="14.25" customHeight="1" x14ac:dyDescent="0.2">
      <c r="K870" s="215" t="s">
        <v>7268</v>
      </c>
      <c r="L870" s="215"/>
      <c r="M870" s="215"/>
      <c r="N870" s="215"/>
      <c r="O870" s="215"/>
      <c r="P870" s="215"/>
      <c r="Q870" s="215"/>
      <c r="R870" s="215"/>
    </row>
    <row r="871" spans="11:18" s="41" customFormat="1" x14ac:dyDescent="0.2">
      <c r="K871" s="215"/>
      <c r="L871" s="215"/>
      <c r="M871" s="215"/>
      <c r="N871" s="215"/>
      <c r="O871" s="215"/>
      <c r="P871" s="215"/>
      <c r="Q871" s="215"/>
      <c r="R871" s="215"/>
    </row>
    <row r="872" spans="11:18" s="41" customFormat="1" x14ac:dyDescent="0.2">
      <c r="N872" s="162"/>
    </row>
    <row r="873" spans="11:18" s="41" customFormat="1" x14ac:dyDescent="0.2">
      <c r="N873" s="162"/>
    </row>
    <row r="874" spans="11:18" s="41" customFormat="1" x14ac:dyDescent="0.2">
      <c r="N874" s="162"/>
    </row>
    <row r="875" spans="11:18" s="41" customFormat="1" x14ac:dyDescent="0.2">
      <c r="N875" s="162"/>
    </row>
    <row r="876" spans="11:18" s="41" customFormat="1" x14ac:dyDescent="0.2">
      <c r="N876" s="162"/>
    </row>
    <row r="877" spans="11:18" s="41" customFormat="1" x14ac:dyDescent="0.2">
      <c r="N877" s="162"/>
    </row>
    <row r="878" spans="11:18" s="41" customFormat="1" x14ac:dyDescent="0.2">
      <c r="N878" s="162"/>
    </row>
    <row r="879" spans="11:18" s="41" customFormat="1" x14ac:dyDescent="0.2">
      <c r="N879" s="162"/>
    </row>
    <row r="880" spans="11:18" s="41" customFormat="1" x14ac:dyDescent="0.2">
      <c r="N880" s="162"/>
    </row>
    <row r="881" spans="1:36" s="41" customFormat="1" x14ac:dyDescent="0.2">
      <c r="N881" s="162"/>
    </row>
    <row r="882" spans="1:36" s="41" customFormat="1" x14ac:dyDescent="0.2">
      <c r="N882" s="162"/>
    </row>
    <row r="883" spans="1:36" s="41" customFormat="1" x14ac:dyDescent="0.2">
      <c r="N883" s="162"/>
    </row>
    <row r="884" spans="1:36" s="41" customFormat="1" x14ac:dyDescent="0.2">
      <c r="N884" s="162"/>
    </row>
    <row r="885" spans="1:36" s="41" customFormat="1" x14ac:dyDescent="0.2">
      <c r="N885" s="162"/>
    </row>
    <row r="886" spans="1:36" s="41" customFormat="1" x14ac:dyDescent="0.2">
      <c r="N886" s="162"/>
    </row>
    <row r="887" spans="1:36" s="41" customFormat="1" x14ac:dyDescent="0.2">
      <c r="N887" s="162"/>
    </row>
    <row r="888" spans="1:36" s="41" customFormat="1" x14ac:dyDescent="0.2">
      <c r="N888" s="162"/>
    </row>
    <row r="889" spans="1:36" s="41" customFormat="1" ht="15" thickBot="1" x14ac:dyDescent="0.25">
      <c r="N889" s="162"/>
    </row>
    <row r="890" spans="1:36" s="41" customFormat="1" ht="42" customHeight="1" thickBot="1" x14ac:dyDescent="0.25">
      <c r="A890" s="240" t="s">
        <v>115</v>
      </c>
      <c r="B890" s="241"/>
      <c r="C890" s="241"/>
      <c r="D890" s="241"/>
      <c r="E890" s="241"/>
      <c r="F890" s="241"/>
      <c r="G890" s="242"/>
      <c r="H890" s="74"/>
      <c r="I890" s="74"/>
      <c r="J890" s="74"/>
      <c r="K890" s="74"/>
      <c r="N890" s="162"/>
    </row>
    <row r="891" spans="1:36" s="41" customFormat="1" ht="15.75" thickBot="1" x14ac:dyDescent="0.3">
      <c r="A891" s="28"/>
      <c r="B891" s="234" t="str">
        <f>+B73</f>
        <v>Successful</v>
      </c>
      <c r="C891" s="235"/>
      <c r="D891" s="236" t="str">
        <f>+D73</f>
        <v>Unsuccessful</v>
      </c>
      <c r="E891" s="237"/>
      <c r="F891" s="238" t="s">
        <v>16</v>
      </c>
      <c r="G891" s="239"/>
      <c r="H891" s="206">
        <f>+H856</f>
        <v>2021</v>
      </c>
      <c r="I891" s="207"/>
      <c r="J891" s="208"/>
      <c r="K891" s="206">
        <f>+K856</f>
        <v>2020</v>
      </c>
      <c r="L891" s="207"/>
      <c r="M891" s="208"/>
      <c r="N891" s="206">
        <f>+N856</f>
        <v>2019</v>
      </c>
      <c r="O891" s="207"/>
      <c r="P891" s="208"/>
      <c r="Q891" s="206">
        <f>+Q856</f>
        <v>2018</v>
      </c>
      <c r="R891" s="207"/>
      <c r="S891" s="208"/>
      <c r="T891" s="206">
        <f>+T856</f>
        <v>2017</v>
      </c>
      <c r="U891" s="207"/>
      <c r="V891" s="208"/>
      <c r="W891" s="209">
        <f>+W856</f>
        <v>2016</v>
      </c>
      <c r="X891" s="210"/>
      <c r="Y891" s="211"/>
      <c r="Z891" s="209">
        <f>+Z856</f>
        <v>2015</v>
      </c>
      <c r="AA891" s="210"/>
      <c r="AB891" s="211"/>
      <c r="AC891" s="165"/>
      <c r="AF891" s="162"/>
    </row>
    <row r="892" spans="1:36" s="41" customFormat="1" ht="29.25" customHeight="1" thickBot="1" x14ac:dyDescent="0.25">
      <c r="A892" s="28"/>
      <c r="B892" s="29" t="s">
        <v>37</v>
      </c>
      <c r="C892" s="30" t="s">
        <v>38</v>
      </c>
      <c r="D892" s="29" t="s">
        <v>37</v>
      </c>
      <c r="E892" s="30" t="s">
        <v>38</v>
      </c>
      <c r="F892" s="29" t="s">
        <v>37</v>
      </c>
      <c r="G892" s="30" t="s">
        <v>38</v>
      </c>
      <c r="H892" s="186" t="s">
        <v>132</v>
      </c>
      <c r="I892" s="187" t="s">
        <v>133</v>
      </c>
      <c r="J892" s="44" t="s">
        <v>16</v>
      </c>
      <c r="K892" s="186" t="s">
        <v>132</v>
      </c>
      <c r="L892" s="187" t="s">
        <v>133</v>
      </c>
      <c r="M892" s="44" t="s">
        <v>16</v>
      </c>
      <c r="N892" s="186" t="s">
        <v>132</v>
      </c>
      <c r="O892" s="187" t="s">
        <v>133</v>
      </c>
      <c r="P892" s="44" t="s">
        <v>16</v>
      </c>
      <c r="Q892" s="186" t="s">
        <v>132</v>
      </c>
      <c r="R892" s="187" t="s">
        <v>133</v>
      </c>
      <c r="S892" s="44" t="s">
        <v>16</v>
      </c>
      <c r="T892" s="186" t="s">
        <v>132</v>
      </c>
      <c r="U892" s="187" t="s">
        <v>133</v>
      </c>
      <c r="V892" s="44" t="s">
        <v>16</v>
      </c>
      <c r="W892" s="186" t="s">
        <v>132</v>
      </c>
      <c r="X892" s="187" t="s">
        <v>133</v>
      </c>
      <c r="Y892" s="44" t="s">
        <v>16</v>
      </c>
      <c r="Z892" s="186" t="s">
        <v>132</v>
      </c>
      <c r="AA892" s="187" t="s">
        <v>133</v>
      </c>
      <c r="AB892" s="44" t="s">
        <v>16</v>
      </c>
      <c r="AC892" s="268"/>
      <c r="AD892" s="269"/>
      <c r="AE892" s="269"/>
      <c r="AF892" s="269"/>
      <c r="AG892" s="269"/>
      <c r="AH892" s="269"/>
      <c r="AI892" s="269"/>
      <c r="AJ892" s="269"/>
    </row>
    <row r="893" spans="1:36" s="41" customFormat="1" x14ac:dyDescent="0.2">
      <c r="A893" s="98" t="s">
        <v>134</v>
      </c>
      <c r="B893" s="31">
        <f>COUNTIFS(DATA!$AG$3:$AG$7183,1,DATA!$D$3:$D$7183,260)</f>
        <v>158</v>
      </c>
      <c r="C893" s="35">
        <f>+B893/$B$898</f>
        <v>0.68995633187772931</v>
      </c>
      <c r="D893" s="31">
        <f>COUNTIFS(DATA!$AG$3:$AG$7183,1,DATA!$D$3:$D$7183,280)</f>
        <v>31</v>
      </c>
      <c r="E893" s="35">
        <f>+D893/$D$898</f>
        <v>0.31958762886597936</v>
      </c>
      <c r="F893" s="31">
        <f>+D893+B893</f>
        <v>189</v>
      </c>
      <c r="G893" s="35">
        <f>+F893/$F$898</f>
        <v>0.57975460122699385</v>
      </c>
      <c r="H893" s="181">
        <v>0.74879227053140096</v>
      </c>
      <c r="I893" s="180">
        <v>0.2608695652173913</v>
      </c>
      <c r="J893" s="182">
        <v>0.59866220735785958</v>
      </c>
      <c r="K893" s="181">
        <v>0.73493975903614461</v>
      </c>
      <c r="L893" s="180">
        <v>0.37956204379562042</v>
      </c>
      <c r="M893" s="182">
        <v>0.60880829015544047</v>
      </c>
      <c r="N893" s="181">
        <v>0.71751412429378536</v>
      </c>
      <c r="O893" s="180">
        <v>0.27500000000000002</v>
      </c>
      <c r="P893" s="182">
        <v>0.57976653696498059</v>
      </c>
      <c r="Q893" s="181">
        <v>0.72</v>
      </c>
      <c r="R893" s="180">
        <v>0.36</v>
      </c>
      <c r="S893" s="182">
        <v>0.6</v>
      </c>
      <c r="T893" s="181">
        <v>0.60942760942760943</v>
      </c>
      <c r="U893" s="180">
        <v>0.43558282208588955</v>
      </c>
      <c r="V893" s="182">
        <v>0.54782608695652169</v>
      </c>
      <c r="W893" s="181">
        <v>0.6539589442815249</v>
      </c>
      <c r="X893" s="180">
        <v>0.39583333333333331</v>
      </c>
      <c r="Y893" s="182">
        <v>0.57731958762886593</v>
      </c>
      <c r="Z893" s="181">
        <v>0.70414201183431957</v>
      </c>
      <c r="AA893" s="180">
        <v>0.31775700934579437</v>
      </c>
      <c r="AB893" s="182">
        <v>0.61252900232018559</v>
      </c>
      <c r="AC893" s="129"/>
      <c r="AD893" s="129"/>
      <c r="AE893" s="129"/>
      <c r="AF893" s="128"/>
      <c r="AG893" s="128"/>
      <c r="AH893" s="200"/>
      <c r="AI893" s="200"/>
      <c r="AJ893" s="200"/>
    </row>
    <row r="894" spans="1:36" s="41" customFormat="1" ht="28.5" customHeight="1" x14ac:dyDescent="0.2">
      <c r="A894" s="92" t="s">
        <v>89</v>
      </c>
      <c r="B894" s="31">
        <f>COUNTIFS(DATA!$AG$3:$AG$7183,2,DATA!$D$3:$D$7183,260)</f>
        <v>37</v>
      </c>
      <c r="C894" s="35">
        <f t="shared" ref="C894:C897" si="109">+B894/$B$898</f>
        <v>0.16157205240174671</v>
      </c>
      <c r="D894" s="42">
        <f>COUNTIFS(DATA!$AG$3:$AG$7183,2,DATA!$D$3:$D$7183,280)</f>
        <v>22</v>
      </c>
      <c r="E894" s="35">
        <f t="shared" ref="E894:E897" si="110">+D894/$D$898</f>
        <v>0.22680412371134021</v>
      </c>
      <c r="F894" s="42">
        <f t="shared" ref="F894:F896" si="111">+D894+B894</f>
        <v>59</v>
      </c>
      <c r="G894" s="35">
        <f t="shared" ref="G894:G897" si="112">+F894/$F$898</f>
        <v>0.18098159509202455</v>
      </c>
      <c r="H894" s="181">
        <v>0.13526570048309178</v>
      </c>
      <c r="I894" s="180">
        <v>0.2391304347826087</v>
      </c>
      <c r="J894" s="182">
        <v>0.16722408026755853</v>
      </c>
      <c r="K894" s="181">
        <v>0.1646586345381526</v>
      </c>
      <c r="L894" s="180">
        <v>0.19708029197080293</v>
      </c>
      <c r="M894" s="182">
        <v>0.17616580310880828</v>
      </c>
      <c r="N894" s="181">
        <v>0.20056497175141244</v>
      </c>
      <c r="O894" s="180">
        <v>0.22500000000000001</v>
      </c>
      <c r="P894" s="182">
        <v>0.20817120622568094</v>
      </c>
      <c r="Q894" s="181">
        <v>0.18</v>
      </c>
      <c r="R894" s="180">
        <v>0.21</v>
      </c>
      <c r="S894" s="182">
        <v>0.19</v>
      </c>
      <c r="T894" s="181">
        <v>0.24579124579124578</v>
      </c>
      <c r="U894" s="180">
        <v>0.12269938650306748</v>
      </c>
      <c r="V894" s="182">
        <v>0.20217391304347826</v>
      </c>
      <c r="W894" s="181">
        <v>0.1906158357771261</v>
      </c>
      <c r="X894" s="180">
        <v>0.18055555555555555</v>
      </c>
      <c r="Y894" s="182">
        <v>0.18762886597938144</v>
      </c>
      <c r="Z894" s="181">
        <v>0.18639053254437871</v>
      </c>
      <c r="AA894" s="180">
        <v>0.22429906542056074</v>
      </c>
      <c r="AB894" s="182">
        <v>0.1902552204176334</v>
      </c>
      <c r="AC894" s="277"/>
      <c r="AD894" s="278"/>
      <c r="AE894" s="278"/>
      <c r="AF894" s="278"/>
      <c r="AG894" s="278"/>
      <c r="AH894" s="278"/>
      <c r="AI894" s="278"/>
      <c r="AJ894" s="278"/>
    </row>
    <row r="895" spans="1:36" s="41" customFormat="1" ht="28.5" customHeight="1" x14ac:dyDescent="0.2">
      <c r="A895" s="92" t="s">
        <v>90</v>
      </c>
      <c r="B895" s="31">
        <f>COUNTIFS(DATA!$AG$3:$AG$7183,"3",DATA!$D$3:$D$7183,260)</f>
        <v>15</v>
      </c>
      <c r="C895" s="35">
        <f t="shared" si="109"/>
        <v>6.5502183406113537E-2</v>
      </c>
      <c r="D895" s="42">
        <f>COUNTIFS(DATA!$AG$3:$AG$7183,"3",DATA!$D$3:$D$7183,280)</f>
        <v>10</v>
      </c>
      <c r="E895" s="35">
        <f t="shared" si="110"/>
        <v>0.10309278350515463</v>
      </c>
      <c r="F895" s="42">
        <f t="shared" si="111"/>
        <v>25</v>
      </c>
      <c r="G895" s="35">
        <f t="shared" si="112"/>
        <v>7.6687116564417179E-2</v>
      </c>
      <c r="H895" s="181">
        <v>3.3816425120772944E-2</v>
      </c>
      <c r="I895" s="180">
        <v>5.434782608695652E-2</v>
      </c>
      <c r="J895" s="182">
        <v>4.0133779264214048E-2</v>
      </c>
      <c r="K895" s="181">
        <v>2.4096385542168676E-2</v>
      </c>
      <c r="L895" s="180">
        <v>6.569343065693431E-2</v>
      </c>
      <c r="M895" s="182">
        <v>3.8860103626943004E-2</v>
      </c>
      <c r="N895" s="181">
        <v>2.5423728813559324E-2</v>
      </c>
      <c r="O895" s="180">
        <v>9.375E-2</v>
      </c>
      <c r="P895" s="182">
        <v>4.6692607003891051E-2</v>
      </c>
      <c r="Q895" s="181">
        <v>0.02</v>
      </c>
      <c r="R895" s="180">
        <v>0.12</v>
      </c>
      <c r="S895" s="182">
        <v>0.05</v>
      </c>
      <c r="T895" s="181">
        <v>5.7239057239057242E-2</v>
      </c>
      <c r="U895" s="180">
        <v>9.815950920245399E-2</v>
      </c>
      <c r="V895" s="182">
        <v>7.1739130434782611E-2</v>
      </c>
      <c r="W895" s="181">
        <v>3.519061583577713E-2</v>
      </c>
      <c r="X895" s="180">
        <v>0.1111111111111111</v>
      </c>
      <c r="Y895" s="182">
        <v>5.7731958762886601E-2</v>
      </c>
      <c r="Z895" s="181">
        <v>3.8461538461538464E-2</v>
      </c>
      <c r="AA895" s="180">
        <v>0.14953271028037382</v>
      </c>
      <c r="AB895" s="182">
        <v>6.7285382830626447E-2</v>
      </c>
      <c r="AC895" s="277"/>
      <c r="AD895" s="278"/>
      <c r="AE895" s="278"/>
      <c r="AF895" s="278"/>
      <c r="AG895" s="278"/>
      <c r="AH895" s="278"/>
      <c r="AI895" s="278"/>
      <c r="AJ895" s="278"/>
    </row>
    <row r="896" spans="1:36" s="41" customFormat="1" ht="27.75" customHeight="1" x14ac:dyDescent="0.2">
      <c r="A896" s="82" t="s">
        <v>91</v>
      </c>
      <c r="B896" s="31">
        <f>COUNTIFS(DATA!$AG$3:$AG$7183,"4",DATA!$D$3:$D$7183,260)</f>
        <v>9</v>
      </c>
      <c r="C896" s="35">
        <f t="shared" si="109"/>
        <v>3.9301310043668124E-2</v>
      </c>
      <c r="D896" s="42">
        <f>COUNTIFS(DATA!$AG$3:$AG$7183,"4",DATA!$D$3:$D$7183,280)</f>
        <v>29</v>
      </c>
      <c r="E896" s="35">
        <f t="shared" si="110"/>
        <v>0.29896907216494845</v>
      </c>
      <c r="F896" s="42">
        <f t="shared" si="111"/>
        <v>38</v>
      </c>
      <c r="G896" s="35">
        <f t="shared" si="112"/>
        <v>0.1165644171779141</v>
      </c>
      <c r="H896" s="181">
        <v>5.3140096618357488E-2</v>
      </c>
      <c r="I896" s="180">
        <v>0.36956521739130432</v>
      </c>
      <c r="J896" s="182">
        <v>0.15050167224080269</v>
      </c>
      <c r="K896" s="181">
        <v>4.4176706827309238E-2</v>
      </c>
      <c r="L896" s="180">
        <v>0.31386861313868614</v>
      </c>
      <c r="M896" s="182">
        <v>0.13989637305699482</v>
      </c>
      <c r="N896" s="181">
        <v>3.3898305084745763E-2</v>
      </c>
      <c r="O896" s="180">
        <v>0.35625000000000001</v>
      </c>
      <c r="P896" s="182">
        <v>0.13424124513618677</v>
      </c>
      <c r="Q896" s="181">
        <v>7.0000000000000007E-2</v>
      </c>
      <c r="R896" s="180">
        <v>0.26</v>
      </c>
      <c r="S896" s="182">
        <v>0.13</v>
      </c>
      <c r="T896" s="181">
        <v>7.0707070707070704E-2</v>
      </c>
      <c r="U896" s="180">
        <v>0.30061349693251532</v>
      </c>
      <c r="V896" s="182">
        <v>0.15217391304347827</v>
      </c>
      <c r="W896" s="181">
        <v>7.9178885630498533E-2</v>
      </c>
      <c r="X896" s="180">
        <v>0.27777777777777779</v>
      </c>
      <c r="Y896" s="182">
        <v>0.13814432989690723</v>
      </c>
      <c r="Z896" s="181">
        <v>4.142011834319527E-2</v>
      </c>
      <c r="AA896" s="180">
        <v>0.28000000000000003</v>
      </c>
      <c r="AB896" s="182">
        <v>0.10440835266821345</v>
      </c>
      <c r="AC896" s="277"/>
      <c r="AD896" s="278"/>
      <c r="AE896" s="278"/>
      <c r="AF896" s="278"/>
      <c r="AG896" s="278"/>
      <c r="AH896" s="278"/>
      <c r="AI896" s="278"/>
      <c r="AJ896" s="278"/>
    </row>
    <row r="897" spans="1:36" s="41" customFormat="1" ht="30" customHeight="1" thickBot="1" x14ac:dyDescent="0.25">
      <c r="A897" s="93" t="s">
        <v>39</v>
      </c>
      <c r="B897" s="31">
        <f>COUNTIFS(DATA!$AG$3:$AG$7183,"5",DATA!$D$3:$D$7183,260)</f>
        <v>10</v>
      </c>
      <c r="C897" s="35">
        <f t="shared" si="109"/>
        <v>4.3668122270742356E-2</v>
      </c>
      <c r="D897" s="42">
        <f>COUNTIFS(DATA!$AG$3:$AG$7183,"5",DATA!$D$3:$D$7183,280)</f>
        <v>5</v>
      </c>
      <c r="E897" s="35">
        <f t="shared" si="110"/>
        <v>5.1546391752577317E-2</v>
      </c>
      <c r="F897" s="42">
        <f t="shared" ref="F897" si="113">+D897+B897</f>
        <v>15</v>
      </c>
      <c r="G897" s="35">
        <f t="shared" si="112"/>
        <v>4.6012269938650305E-2</v>
      </c>
      <c r="H897" s="181">
        <v>2.8985507246376812E-2</v>
      </c>
      <c r="I897" s="180">
        <v>7.6086956521739135E-2</v>
      </c>
      <c r="J897" s="182">
        <v>4.3478260869565216E-2</v>
      </c>
      <c r="K897" s="181">
        <v>3.2128514056224897E-2</v>
      </c>
      <c r="L897" s="180">
        <v>4.3795620437956206E-2</v>
      </c>
      <c r="M897" s="182">
        <v>3.6269430051813469E-2</v>
      </c>
      <c r="N897" s="181">
        <v>2.2598870056497175E-2</v>
      </c>
      <c r="O897" s="180">
        <v>0.05</v>
      </c>
      <c r="P897" s="182">
        <v>3.1128404669260701E-2</v>
      </c>
      <c r="Q897" s="181">
        <v>0.02</v>
      </c>
      <c r="R897" s="180">
        <v>0.05</v>
      </c>
      <c r="S897" s="182">
        <v>0.03</v>
      </c>
      <c r="T897" s="181">
        <v>1.6835016835016835E-2</v>
      </c>
      <c r="U897" s="180">
        <v>4.2944785276073622E-2</v>
      </c>
      <c r="V897" s="182">
        <v>2.6086956521739129E-2</v>
      </c>
      <c r="W897" s="181">
        <v>4.1055718475073312E-2</v>
      </c>
      <c r="X897" s="180">
        <v>3.4722222222222224E-2</v>
      </c>
      <c r="Y897" s="182">
        <v>3.9175257731958762E-2</v>
      </c>
      <c r="Z897" s="181">
        <v>2.9585798816568046E-2</v>
      </c>
      <c r="AA897" s="180">
        <v>0.03</v>
      </c>
      <c r="AB897" s="182">
        <v>2.5522041763341066E-2</v>
      </c>
      <c r="AC897" s="277"/>
      <c r="AD897" s="278"/>
      <c r="AE897" s="278"/>
      <c r="AF897" s="278"/>
      <c r="AG897" s="278"/>
      <c r="AH897" s="278"/>
      <c r="AI897" s="278"/>
      <c r="AJ897" s="278"/>
    </row>
    <row r="898" spans="1:36" s="41" customFormat="1" ht="15.75" thickBot="1" x14ac:dyDescent="0.3">
      <c r="A898" s="111" t="s">
        <v>16</v>
      </c>
      <c r="B898" s="101">
        <f>SUM(B893:B897)</f>
        <v>229</v>
      </c>
      <c r="C898" s="114">
        <f>+B898/$B$898</f>
        <v>1</v>
      </c>
      <c r="D898" s="101">
        <f>SUM(D893:D897)</f>
        <v>97</v>
      </c>
      <c r="E898" s="114">
        <f>+D898/$D$898</f>
        <v>1</v>
      </c>
      <c r="F898" s="101">
        <f>SUM(F893:F897)</f>
        <v>326</v>
      </c>
      <c r="G898" s="114">
        <f>+F898/$F$898</f>
        <v>1</v>
      </c>
      <c r="H898" s="183">
        <v>1</v>
      </c>
      <c r="I898" s="184">
        <v>1</v>
      </c>
      <c r="J898" s="185">
        <v>1</v>
      </c>
      <c r="K898" s="183">
        <v>1</v>
      </c>
      <c r="L898" s="184">
        <v>1</v>
      </c>
      <c r="M898" s="185">
        <v>1</v>
      </c>
      <c r="N898" s="183">
        <v>1</v>
      </c>
      <c r="O898" s="184">
        <v>1</v>
      </c>
      <c r="P898" s="185">
        <v>1</v>
      </c>
      <c r="Q898" s="183">
        <v>1</v>
      </c>
      <c r="R898" s="184">
        <v>1</v>
      </c>
      <c r="S898" s="185">
        <v>1</v>
      </c>
      <c r="T898" s="183">
        <v>1</v>
      </c>
      <c r="U898" s="184">
        <v>1</v>
      </c>
      <c r="V898" s="185">
        <v>1</v>
      </c>
      <c r="W898" s="183">
        <v>1</v>
      </c>
      <c r="X898" s="184">
        <v>1</v>
      </c>
      <c r="Y898" s="185">
        <v>1</v>
      </c>
      <c r="Z898" s="183">
        <v>1</v>
      </c>
      <c r="AA898" s="184">
        <v>1</v>
      </c>
      <c r="AB898" s="185">
        <v>1</v>
      </c>
      <c r="AF898" s="162"/>
    </row>
    <row r="899" spans="1:36" s="41" customFormat="1" x14ac:dyDescent="0.2">
      <c r="N899" s="162"/>
    </row>
    <row r="900" spans="1:36" s="41" customFormat="1" x14ac:dyDescent="0.2">
      <c r="N900" s="162"/>
    </row>
    <row r="901" spans="1:36" s="41" customFormat="1" x14ac:dyDescent="0.2">
      <c r="N901" s="162"/>
    </row>
    <row r="902" spans="1:36" s="41" customFormat="1" x14ac:dyDescent="0.2">
      <c r="K902" s="220" t="s">
        <v>7102</v>
      </c>
      <c r="L902" s="218"/>
      <c r="M902" s="218"/>
      <c r="N902" s="218"/>
      <c r="O902" s="218"/>
      <c r="P902" s="218"/>
      <c r="Q902" s="218"/>
      <c r="R902" s="218"/>
    </row>
    <row r="903" spans="1:36" s="41" customFormat="1" x14ac:dyDescent="0.2">
      <c r="K903" s="164"/>
      <c r="L903" s="164"/>
      <c r="M903" s="164"/>
      <c r="N903" s="163"/>
      <c r="O903" s="163"/>
      <c r="P903" s="162"/>
      <c r="Q903" s="162"/>
      <c r="R903" s="162"/>
    </row>
    <row r="904" spans="1:36" s="41" customFormat="1" ht="14.25" customHeight="1" x14ac:dyDescent="0.2">
      <c r="K904" s="219" t="s">
        <v>7164</v>
      </c>
      <c r="L904" s="219"/>
      <c r="M904" s="219"/>
      <c r="N904" s="219"/>
      <c r="O904" s="219"/>
      <c r="P904" s="219"/>
      <c r="Q904" s="219"/>
      <c r="R904" s="219"/>
    </row>
    <row r="905" spans="1:36" s="41" customFormat="1" x14ac:dyDescent="0.2">
      <c r="K905" s="219"/>
      <c r="L905" s="219"/>
      <c r="M905" s="219"/>
      <c r="N905" s="219"/>
      <c r="O905" s="219"/>
      <c r="P905" s="219"/>
      <c r="Q905" s="219"/>
      <c r="R905" s="219"/>
    </row>
    <row r="906" spans="1:36" s="41" customFormat="1" ht="14.25" customHeight="1" x14ac:dyDescent="0.2">
      <c r="K906" s="219" t="s">
        <v>7165</v>
      </c>
      <c r="L906" s="219"/>
      <c r="M906" s="219"/>
      <c r="N906" s="219"/>
      <c r="O906" s="219"/>
      <c r="P906" s="219"/>
      <c r="Q906" s="219"/>
      <c r="R906" s="219"/>
    </row>
    <row r="907" spans="1:36" s="41" customFormat="1" ht="14.25" customHeight="1" x14ac:dyDescent="0.2">
      <c r="K907" s="219"/>
      <c r="L907" s="219"/>
      <c r="M907" s="219"/>
      <c r="N907" s="219"/>
      <c r="O907" s="219"/>
      <c r="P907" s="219"/>
      <c r="Q907" s="219"/>
      <c r="R907" s="219"/>
    </row>
    <row r="908" spans="1:36" s="41" customFormat="1" x14ac:dyDescent="0.2">
      <c r="K908" s="162"/>
      <c r="L908" s="162"/>
      <c r="M908" s="162"/>
      <c r="N908" s="162"/>
      <c r="O908" s="162"/>
      <c r="P908" s="162"/>
      <c r="Q908" s="162"/>
      <c r="R908" s="162"/>
    </row>
    <row r="909" spans="1:36" s="41" customFormat="1" ht="14.25" customHeight="1" x14ac:dyDescent="0.2">
      <c r="K909" s="215" t="s">
        <v>7166</v>
      </c>
      <c r="L909" s="215"/>
      <c r="M909" s="215"/>
      <c r="N909" s="215"/>
      <c r="O909" s="215"/>
      <c r="P909" s="215"/>
      <c r="Q909" s="215"/>
      <c r="R909" s="215"/>
    </row>
    <row r="910" spans="1:36" s="41" customFormat="1" x14ac:dyDescent="0.2">
      <c r="K910" s="215"/>
      <c r="L910" s="215"/>
      <c r="M910" s="215"/>
      <c r="N910" s="215"/>
      <c r="O910" s="215"/>
      <c r="P910" s="215"/>
      <c r="Q910" s="215"/>
      <c r="R910" s="215"/>
    </row>
    <row r="911" spans="1:36" s="41" customFormat="1" ht="14.25" customHeight="1" x14ac:dyDescent="0.2">
      <c r="K911" s="215" t="s">
        <v>7167</v>
      </c>
      <c r="L911" s="215"/>
      <c r="M911" s="215"/>
      <c r="N911" s="215"/>
      <c r="O911" s="215"/>
      <c r="P911" s="215"/>
      <c r="Q911" s="215"/>
      <c r="R911" s="215"/>
    </row>
    <row r="912" spans="1:36" s="41" customFormat="1" x14ac:dyDescent="0.2">
      <c r="K912" s="215"/>
      <c r="L912" s="215"/>
      <c r="M912" s="215"/>
      <c r="N912" s="215"/>
      <c r="O912" s="215"/>
      <c r="P912" s="215"/>
      <c r="Q912" s="215"/>
      <c r="R912" s="215"/>
    </row>
    <row r="913" spans="1:32" s="41" customFormat="1" x14ac:dyDescent="0.2">
      <c r="N913" s="162"/>
    </row>
    <row r="914" spans="1:32" s="41" customFormat="1" x14ac:dyDescent="0.2">
      <c r="N914" s="162"/>
    </row>
    <row r="915" spans="1:32" s="41" customFormat="1" x14ac:dyDescent="0.2">
      <c r="N915" s="162"/>
    </row>
    <row r="916" spans="1:32" s="41" customFormat="1" x14ac:dyDescent="0.2">
      <c r="N916" s="162"/>
    </row>
    <row r="917" spans="1:32" s="41" customFormat="1" x14ac:dyDescent="0.2">
      <c r="N917" s="162"/>
    </row>
    <row r="918" spans="1:32" s="41" customFormat="1" x14ac:dyDescent="0.2">
      <c r="N918" s="162"/>
    </row>
    <row r="919" spans="1:32" s="41" customFormat="1" x14ac:dyDescent="0.2">
      <c r="N919" s="162"/>
    </row>
    <row r="920" spans="1:32" s="41" customFormat="1" x14ac:dyDescent="0.2">
      <c r="N920" s="162"/>
    </row>
    <row r="921" spans="1:32" s="41" customFormat="1" x14ac:dyDescent="0.2">
      <c r="N921" s="162"/>
    </row>
    <row r="922" spans="1:32" s="41" customFormat="1" x14ac:dyDescent="0.2">
      <c r="N922" s="162"/>
    </row>
    <row r="923" spans="1:32" s="41" customFormat="1" x14ac:dyDescent="0.2">
      <c r="N923" s="162"/>
    </row>
    <row r="924" spans="1:32" s="41" customFormat="1" ht="15" thickBot="1" x14ac:dyDescent="0.25">
      <c r="N924" s="162"/>
    </row>
    <row r="925" spans="1:32" s="41" customFormat="1" ht="57" customHeight="1" thickBot="1" x14ac:dyDescent="0.25">
      <c r="A925" s="240" t="s">
        <v>160</v>
      </c>
      <c r="B925" s="241"/>
      <c r="C925" s="241"/>
      <c r="D925" s="241"/>
      <c r="E925" s="241"/>
      <c r="F925" s="241"/>
      <c r="G925" s="242"/>
      <c r="H925" s="74"/>
      <c r="I925" s="74"/>
      <c r="J925" s="74"/>
      <c r="K925" s="74"/>
      <c r="N925" s="162"/>
    </row>
    <row r="926" spans="1:32" s="41" customFormat="1" ht="15.75" thickBot="1" x14ac:dyDescent="0.3">
      <c r="A926" s="28"/>
      <c r="B926" s="234" t="str">
        <f>+B73</f>
        <v>Successful</v>
      </c>
      <c r="C926" s="235"/>
      <c r="D926" s="236" t="str">
        <f>+D73</f>
        <v>Unsuccessful</v>
      </c>
      <c r="E926" s="237"/>
      <c r="F926" s="238" t="s">
        <v>16</v>
      </c>
      <c r="G926" s="239"/>
      <c r="H926" s="206">
        <f>+H891</f>
        <v>2021</v>
      </c>
      <c r="I926" s="207"/>
      <c r="J926" s="208"/>
      <c r="K926" s="206">
        <f>+K891</f>
        <v>2020</v>
      </c>
      <c r="L926" s="207"/>
      <c r="M926" s="208"/>
      <c r="N926" s="206">
        <f>+N891</f>
        <v>2019</v>
      </c>
      <c r="O926" s="207"/>
      <c r="P926" s="208"/>
      <c r="Q926" s="206">
        <f>+Q891</f>
        <v>2018</v>
      </c>
      <c r="R926" s="207"/>
      <c r="S926" s="208"/>
      <c r="T926" s="206">
        <f>+T891</f>
        <v>2017</v>
      </c>
      <c r="U926" s="207"/>
      <c r="V926" s="208"/>
      <c r="W926" s="209">
        <f>+W891</f>
        <v>2016</v>
      </c>
      <c r="X926" s="210"/>
      <c r="Y926" s="211"/>
      <c r="Z926" s="209">
        <f>+Z891</f>
        <v>2015</v>
      </c>
      <c r="AA926" s="210"/>
      <c r="AB926" s="211"/>
      <c r="AC926" s="165"/>
      <c r="AF926" s="162"/>
    </row>
    <row r="927" spans="1:32" s="41" customFormat="1" ht="29.25" customHeight="1" thickBot="1" x14ac:dyDescent="0.25">
      <c r="A927" s="28"/>
      <c r="B927" s="29" t="s">
        <v>37</v>
      </c>
      <c r="C927" s="30" t="s">
        <v>38</v>
      </c>
      <c r="D927" s="29" t="s">
        <v>37</v>
      </c>
      <c r="E927" s="30" t="s">
        <v>38</v>
      </c>
      <c r="F927" s="29" t="s">
        <v>37</v>
      </c>
      <c r="G927" s="30" t="s">
        <v>38</v>
      </c>
      <c r="H927" s="186" t="s">
        <v>132</v>
      </c>
      <c r="I927" s="187" t="s">
        <v>133</v>
      </c>
      <c r="J927" s="44" t="s">
        <v>16</v>
      </c>
      <c r="K927" s="186" t="s">
        <v>132</v>
      </c>
      <c r="L927" s="187" t="s">
        <v>133</v>
      </c>
      <c r="M927" s="44" t="s">
        <v>16</v>
      </c>
      <c r="N927" s="186" t="s">
        <v>132</v>
      </c>
      <c r="O927" s="187" t="s">
        <v>133</v>
      </c>
      <c r="P927" s="44" t="s">
        <v>16</v>
      </c>
      <c r="Q927" s="186" t="s">
        <v>132</v>
      </c>
      <c r="R927" s="187" t="s">
        <v>133</v>
      </c>
      <c r="S927" s="44" t="s">
        <v>16</v>
      </c>
      <c r="T927" s="186" t="s">
        <v>132</v>
      </c>
      <c r="U927" s="187" t="s">
        <v>133</v>
      </c>
      <c r="V927" s="44" t="s">
        <v>16</v>
      </c>
      <c r="W927" s="186" t="s">
        <v>132</v>
      </c>
      <c r="X927" s="187" t="s">
        <v>133</v>
      </c>
      <c r="Y927" s="44" t="s">
        <v>16</v>
      </c>
      <c r="Z927" s="186" t="s">
        <v>132</v>
      </c>
      <c r="AA927" s="187" t="s">
        <v>133</v>
      </c>
      <c r="AB927" s="44" t="s">
        <v>16</v>
      </c>
    </row>
    <row r="928" spans="1:32" s="41" customFormat="1" x14ac:dyDescent="0.2">
      <c r="A928" s="98" t="s">
        <v>134</v>
      </c>
      <c r="B928" s="31">
        <f>COUNTIFS(DATA!$AH$3:$AH$7183,1,DATA!$D$3:$D$7183,260)</f>
        <v>5</v>
      </c>
      <c r="C928" s="35">
        <f>IF(B932=0,0,+B928/B932)</f>
        <v>0.20833333333333334</v>
      </c>
      <c r="D928" s="31">
        <f>COUNTIFS(DATA!$AH$3:$AH$7183,1,DATA!$D$3:$D$7183,280)</f>
        <v>4</v>
      </c>
      <c r="E928" s="35">
        <f>+D928/D932</f>
        <v>0.10256410256410256</v>
      </c>
      <c r="F928" s="31">
        <f>+D928+B928</f>
        <v>9</v>
      </c>
      <c r="G928" s="35">
        <f>+F928/F932</f>
        <v>0.14285714285714285</v>
      </c>
      <c r="H928" s="181">
        <v>0.16666666666666666</v>
      </c>
      <c r="I928" s="180">
        <v>5.128205128205128E-2</v>
      </c>
      <c r="J928" s="182">
        <v>8.771929824561403E-2</v>
      </c>
      <c r="K928" s="181">
        <v>5.8823529411764705E-2</v>
      </c>
      <c r="L928" s="180">
        <v>9.6153846153846159E-2</v>
      </c>
      <c r="M928" s="182">
        <v>8.6956521739130432E-2</v>
      </c>
      <c r="N928" s="181">
        <v>0.19047619047619047</v>
      </c>
      <c r="O928" s="180">
        <v>5.5555555555555552E-2</v>
      </c>
      <c r="P928" s="182">
        <v>8.6021505376344093E-2</v>
      </c>
      <c r="Q928" s="181">
        <v>0.1</v>
      </c>
      <c r="R928" s="180">
        <v>0.08</v>
      </c>
      <c r="S928" s="182">
        <v>0.09</v>
      </c>
      <c r="T928" s="181">
        <v>0.18421052631578946</v>
      </c>
      <c r="U928" s="180">
        <v>0.12307692307692308</v>
      </c>
      <c r="V928" s="182">
        <v>0.14563106796116504</v>
      </c>
      <c r="W928" s="181">
        <v>0.23684210526315788</v>
      </c>
      <c r="X928" s="180">
        <v>0.16071428571428573</v>
      </c>
      <c r="Y928" s="182">
        <v>0.19148936170212766</v>
      </c>
      <c r="Z928" s="181">
        <v>0.1111111111111111</v>
      </c>
      <c r="AA928" s="180">
        <v>8.5106382978723402E-2</v>
      </c>
      <c r="AB928" s="182">
        <v>9.45945945945946E-2</v>
      </c>
    </row>
    <row r="929" spans="1:32" s="41" customFormat="1" ht="28.5" customHeight="1" x14ac:dyDescent="0.2">
      <c r="A929" s="99" t="s">
        <v>135</v>
      </c>
      <c r="B929" s="31">
        <f>COUNTIFS(DATA!$AH$3:$AH$7183,2,DATA!$D$3:$D$7183,260)</f>
        <v>13</v>
      </c>
      <c r="C929" s="35">
        <f>IF(B932=0,0,+B929/B932)</f>
        <v>0.54166666666666663</v>
      </c>
      <c r="D929" s="42">
        <f>COUNTIFS(DATA!$AH$3:$AH$7183,2,DATA!$D$3:$D$7183,280)</f>
        <v>22</v>
      </c>
      <c r="E929" s="35">
        <f>+D929/D932</f>
        <v>0.5641025641025641</v>
      </c>
      <c r="F929" s="42">
        <f t="shared" ref="F929:F931" si="114">+D929+B929</f>
        <v>35</v>
      </c>
      <c r="G929" s="35">
        <f>+F929/F932</f>
        <v>0.55555555555555558</v>
      </c>
      <c r="H929" s="181">
        <v>0.66666666666666663</v>
      </c>
      <c r="I929" s="180">
        <v>0.66666666666666663</v>
      </c>
      <c r="J929" s="182">
        <v>0.66666666666666663</v>
      </c>
      <c r="K929" s="181">
        <v>0.70588235294117652</v>
      </c>
      <c r="L929" s="180">
        <v>0.55769230769230771</v>
      </c>
      <c r="M929" s="182">
        <v>0.59420289855072461</v>
      </c>
      <c r="N929" s="181">
        <v>0.61904761904761907</v>
      </c>
      <c r="O929" s="180">
        <v>0.61111111111111116</v>
      </c>
      <c r="P929" s="182">
        <v>0.61290322580645162</v>
      </c>
      <c r="Q929" s="181">
        <v>0.72</v>
      </c>
      <c r="R929" s="180">
        <v>0.65</v>
      </c>
      <c r="S929" s="182">
        <v>0.67</v>
      </c>
      <c r="T929" s="181">
        <v>0.55263157894736847</v>
      </c>
      <c r="U929" s="180">
        <v>0.6</v>
      </c>
      <c r="V929" s="182">
        <v>0.58252427184466016</v>
      </c>
      <c r="W929" s="181">
        <v>0.5</v>
      </c>
      <c r="X929" s="180">
        <v>0.625</v>
      </c>
      <c r="Y929" s="182">
        <v>0.57446808510638303</v>
      </c>
      <c r="Z929" s="181">
        <v>0.62962962962962965</v>
      </c>
      <c r="AA929" s="180">
        <v>0.61702127659574468</v>
      </c>
      <c r="AB929" s="182">
        <v>0.6216216216216216</v>
      </c>
    </row>
    <row r="930" spans="1:32" s="41" customFormat="1" ht="29.25" customHeight="1" x14ac:dyDescent="0.2">
      <c r="A930" s="92" t="s">
        <v>94</v>
      </c>
      <c r="B930" s="31">
        <f>COUNTIFS(DATA!$AH$3:$AH$7183,"3",DATA!$D$3:$D$7183,260)</f>
        <v>6</v>
      </c>
      <c r="C930" s="35">
        <f>IF(B932=0,0,+B930/B932)</f>
        <v>0.25</v>
      </c>
      <c r="D930" s="42">
        <f>COUNTIFS(DATA!$AH$3:$AH$7183,"3",DATA!$D$3:$D$7183,280)</f>
        <v>11</v>
      </c>
      <c r="E930" s="35">
        <f>+D930/D932</f>
        <v>0.28205128205128205</v>
      </c>
      <c r="F930" s="42">
        <f t="shared" si="114"/>
        <v>17</v>
      </c>
      <c r="G930" s="35">
        <f>+F930/F932</f>
        <v>0.26984126984126983</v>
      </c>
      <c r="H930" s="181">
        <v>0.1111111111111111</v>
      </c>
      <c r="I930" s="180">
        <v>0.20512820512820512</v>
      </c>
      <c r="J930" s="182">
        <v>0.17543859649122806</v>
      </c>
      <c r="K930" s="181">
        <v>0.23529411764705882</v>
      </c>
      <c r="L930" s="180">
        <v>0.34615384615384615</v>
      </c>
      <c r="M930" s="182">
        <v>0.3188405797101449</v>
      </c>
      <c r="N930" s="181">
        <v>9.5238095238095233E-2</v>
      </c>
      <c r="O930" s="180">
        <v>0.25</v>
      </c>
      <c r="P930" s="182">
        <v>0.21505376344086022</v>
      </c>
      <c r="Q930" s="181">
        <v>0.17</v>
      </c>
      <c r="R930" s="180">
        <v>0.21</v>
      </c>
      <c r="S930" s="182">
        <v>0.2</v>
      </c>
      <c r="T930" s="181">
        <v>0.26315789473684209</v>
      </c>
      <c r="U930" s="180">
        <v>0.23076923076923078</v>
      </c>
      <c r="V930" s="182">
        <v>0.24271844660194175</v>
      </c>
      <c r="W930" s="181">
        <v>0.21052631578947367</v>
      </c>
      <c r="X930" s="180">
        <v>0.10714285714285714</v>
      </c>
      <c r="Y930" s="182">
        <v>0.14893617021276595</v>
      </c>
      <c r="Z930" s="181">
        <v>0.25925925925925924</v>
      </c>
      <c r="AA930" s="180">
        <v>0.25531914893617019</v>
      </c>
      <c r="AB930" s="182">
        <v>0.25675675675675674</v>
      </c>
    </row>
    <row r="931" spans="1:32" s="41" customFormat="1" ht="15" thickBot="1" x14ac:dyDescent="0.25">
      <c r="A931" s="93" t="s">
        <v>39</v>
      </c>
      <c r="B931" s="31">
        <f>COUNTIFS(DATA!$AH$3:$AH$7183,"4",DATA!$D$3:$D$7183,260)</f>
        <v>0</v>
      </c>
      <c r="C931" s="35">
        <f>IF(B932=0,0,+B931/B932)</f>
        <v>0</v>
      </c>
      <c r="D931" s="42">
        <f>COUNTIFS(DATA!$AH$3:$AH$7183,"4",DATA!$D$3:$D$7183,280)</f>
        <v>2</v>
      </c>
      <c r="E931" s="35">
        <f>+D931/D932</f>
        <v>5.128205128205128E-2</v>
      </c>
      <c r="F931" s="42">
        <f t="shared" si="114"/>
        <v>2</v>
      </c>
      <c r="G931" s="35">
        <f>+F931/F932</f>
        <v>3.1746031746031744E-2</v>
      </c>
      <c r="H931" s="181">
        <v>5.5555555555555552E-2</v>
      </c>
      <c r="I931" s="180">
        <v>7.6923076923076927E-2</v>
      </c>
      <c r="J931" s="182">
        <v>7.0175438596491224E-2</v>
      </c>
      <c r="K931" s="181">
        <v>0</v>
      </c>
      <c r="L931" s="180">
        <v>0</v>
      </c>
      <c r="M931" s="182">
        <v>0</v>
      </c>
      <c r="N931" s="181">
        <v>9.5238095238095233E-2</v>
      </c>
      <c r="O931" s="180">
        <v>8.3333333333333329E-2</v>
      </c>
      <c r="P931" s="182">
        <v>8.6021505376344093E-2</v>
      </c>
      <c r="Q931" s="181">
        <v>0</v>
      </c>
      <c r="R931" s="180">
        <v>0.06</v>
      </c>
      <c r="S931" s="182">
        <v>0.04</v>
      </c>
      <c r="T931" s="181">
        <v>0</v>
      </c>
      <c r="U931" s="180">
        <v>4.6153846153846156E-2</v>
      </c>
      <c r="V931" s="182">
        <v>2.9126213592233011E-2</v>
      </c>
      <c r="W931" s="181">
        <v>5.2631578947368418E-2</v>
      </c>
      <c r="X931" s="180">
        <v>0.10714285714285714</v>
      </c>
      <c r="Y931" s="182">
        <v>8.5106382978723402E-2</v>
      </c>
      <c r="Z931" s="181">
        <v>0</v>
      </c>
      <c r="AA931" s="180">
        <v>4.2553191489361701E-2</v>
      </c>
      <c r="AB931" s="182">
        <v>2.7027027027027029E-2</v>
      </c>
      <c r="AC931" s="74"/>
      <c r="AF931" s="162"/>
    </row>
    <row r="932" spans="1:32" s="41" customFormat="1" ht="15.75" thickBot="1" x14ac:dyDescent="0.3">
      <c r="A932" s="111" t="s">
        <v>16</v>
      </c>
      <c r="B932" s="101">
        <f>SUM(B928:B931)</f>
        <v>24</v>
      </c>
      <c r="C932" s="114">
        <f>IF(B932=0,0,+B932/B932)</f>
        <v>1</v>
      </c>
      <c r="D932" s="101">
        <f>SUM(D928:D931)</f>
        <v>39</v>
      </c>
      <c r="E932" s="114">
        <f>+D932/D932</f>
        <v>1</v>
      </c>
      <c r="F932" s="101">
        <f>SUM(F928:F931)</f>
        <v>63</v>
      </c>
      <c r="G932" s="114">
        <f>+F932/F932</f>
        <v>1</v>
      </c>
      <c r="H932" s="183">
        <v>1</v>
      </c>
      <c r="I932" s="184">
        <v>1</v>
      </c>
      <c r="J932" s="185">
        <v>1</v>
      </c>
      <c r="K932" s="183">
        <v>1</v>
      </c>
      <c r="L932" s="184">
        <v>1</v>
      </c>
      <c r="M932" s="185">
        <v>1</v>
      </c>
      <c r="N932" s="183">
        <v>1</v>
      </c>
      <c r="O932" s="184">
        <v>1</v>
      </c>
      <c r="P932" s="185">
        <v>1</v>
      </c>
      <c r="Q932" s="183">
        <v>1</v>
      </c>
      <c r="R932" s="184">
        <v>1</v>
      </c>
      <c r="S932" s="185">
        <v>1</v>
      </c>
      <c r="T932" s="183">
        <v>1</v>
      </c>
      <c r="U932" s="184">
        <v>1</v>
      </c>
      <c r="V932" s="185">
        <v>1</v>
      </c>
      <c r="W932" s="183">
        <v>1</v>
      </c>
      <c r="X932" s="184">
        <v>1</v>
      </c>
      <c r="Y932" s="185">
        <v>1</v>
      </c>
      <c r="Z932" s="183">
        <v>1</v>
      </c>
      <c r="AA932" s="184">
        <v>1</v>
      </c>
      <c r="AB932" s="185">
        <v>1</v>
      </c>
      <c r="AF932" s="162"/>
    </row>
    <row r="933" spans="1:32" s="41" customFormat="1" x14ac:dyDescent="0.2">
      <c r="N933" s="162"/>
    </row>
    <row r="934" spans="1:32" s="41" customFormat="1" x14ac:dyDescent="0.2">
      <c r="N934" s="162"/>
    </row>
    <row r="935" spans="1:32" s="41" customFormat="1" x14ac:dyDescent="0.2">
      <c r="N935" s="162"/>
    </row>
    <row r="936" spans="1:32" s="41" customFormat="1" ht="14.25" customHeight="1" x14ac:dyDescent="0.2">
      <c r="K936" s="218" t="s">
        <v>7103</v>
      </c>
      <c r="L936" s="218"/>
      <c r="M936" s="218"/>
      <c r="N936" s="218"/>
      <c r="O936" s="218"/>
      <c r="P936" s="218"/>
      <c r="Q936" s="218"/>
      <c r="R936" s="218"/>
    </row>
    <row r="937" spans="1:32" s="41" customFormat="1" x14ac:dyDescent="0.2">
      <c r="K937" s="218"/>
      <c r="L937" s="218"/>
      <c r="M937" s="218"/>
      <c r="N937" s="218"/>
      <c r="O937" s="218"/>
      <c r="P937" s="218"/>
      <c r="Q937" s="218"/>
      <c r="R937" s="218"/>
    </row>
    <row r="938" spans="1:32" s="41" customFormat="1" ht="14.25" customHeight="1" x14ac:dyDescent="0.2">
      <c r="K938" s="219" t="s">
        <v>7168</v>
      </c>
      <c r="L938" s="219"/>
      <c r="M938" s="219"/>
      <c r="N938" s="219"/>
      <c r="O938" s="219"/>
      <c r="P938" s="219"/>
      <c r="Q938" s="219"/>
      <c r="R938" s="219"/>
    </row>
    <row r="939" spans="1:32" s="41" customFormat="1" x14ac:dyDescent="0.2">
      <c r="K939" s="219"/>
      <c r="L939" s="219"/>
      <c r="M939" s="219"/>
      <c r="N939" s="219"/>
      <c r="O939" s="219"/>
      <c r="P939" s="219"/>
      <c r="Q939" s="219"/>
      <c r="R939" s="219"/>
    </row>
    <row r="940" spans="1:32" s="41" customFormat="1" ht="14.25" customHeight="1" x14ac:dyDescent="0.2">
      <c r="K940" s="215" t="s">
        <v>7169</v>
      </c>
      <c r="L940" s="215"/>
      <c r="M940" s="215"/>
      <c r="N940" s="215"/>
      <c r="O940" s="215"/>
      <c r="P940" s="215"/>
      <c r="Q940" s="215"/>
      <c r="R940" s="215"/>
    </row>
    <row r="941" spans="1:32" s="41" customFormat="1" x14ac:dyDescent="0.2">
      <c r="K941" s="215"/>
      <c r="L941" s="215"/>
      <c r="M941" s="215"/>
      <c r="N941" s="215"/>
      <c r="O941" s="215"/>
      <c r="P941" s="215"/>
      <c r="Q941" s="215"/>
      <c r="R941" s="215"/>
    </row>
    <row r="942" spans="1:32" s="41" customFormat="1" x14ac:dyDescent="0.2">
      <c r="N942" s="162"/>
    </row>
    <row r="943" spans="1:32" s="41" customFormat="1" x14ac:dyDescent="0.2">
      <c r="N943" s="162"/>
    </row>
    <row r="944" spans="1:32" s="41" customFormat="1" x14ac:dyDescent="0.2">
      <c r="N944" s="162"/>
    </row>
    <row r="945" spans="1:14" s="41" customFormat="1" x14ac:dyDescent="0.2">
      <c r="N945" s="162"/>
    </row>
    <row r="946" spans="1:14" s="41" customFormat="1" x14ac:dyDescent="0.2">
      <c r="N946" s="162"/>
    </row>
    <row r="947" spans="1:14" s="41" customFormat="1" x14ac:dyDescent="0.2">
      <c r="N947" s="162"/>
    </row>
    <row r="948" spans="1:14" s="41" customFormat="1" x14ac:dyDescent="0.2">
      <c r="N948" s="162"/>
    </row>
    <row r="949" spans="1:14" s="41" customFormat="1" x14ac:dyDescent="0.2">
      <c r="N949" s="162"/>
    </row>
    <row r="950" spans="1:14" s="41" customFormat="1" x14ac:dyDescent="0.2">
      <c r="N950" s="162"/>
    </row>
    <row r="951" spans="1:14" s="41" customFormat="1" x14ac:dyDescent="0.2">
      <c r="N951" s="162"/>
    </row>
    <row r="952" spans="1:14" s="41" customFormat="1" x14ac:dyDescent="0.2">
      <c r="N952" s="162"/>
    </row>
    <row r="953" spans="1:14" s="41" customFormat="1" x14ac:dyDescent="0.2">
      <c r="N953" s="162"/>
    </row>
    <row r="954" spans="1:14" s="41" customFormat="1" x14ac:dyDescent="0.2">
      <c r="N954" s="162"/>
    </row>
    <row r="955" spans="1:14" s="41" customFormat="1" x14ac:dyDescent="0.2">
      <c r="N955" s="162"/>
    </row>
    <row r="956" spans="1:14" s="41" customFormat="1" x14ac:dyDescent="0.2">
      <c r="N956" s="162"/>
    </row>
    <row r="957" spans="1:14" s="41" customFormat="1" x14ac:dyDescent="0.2">
      <c r="N957" s="162"/>
    </row>
    <row r="958" spans="1:14" s="41" customFormat="1" x14ac:dyDescent="0.2">
      <c r="N958" s="162"/>
    </row>
    <row r="959" spans="1:14" s="41" customFormat="1" ht="15" thickBot="1" x14ac:dyDescent="0.25">
      <c r="N959" s="162"/>
    </row>
    <row r="960" spans="1:14" s="41" customFormat="1" ht="57" customHeight="1" thickBot="1" x14ac:dyDescent="0.25">
      <c r="A960" s="240" t="s">
        <v>116</v>
      </c>
      <c r="B960" s="241"/>
      <c r="C960" s="241"/>
      <c r="D960" s="241"/>
      <c r="E960" s="241"/>
      <c r="F960" s="241"/>
      <c r="G960" s="242"/>
      <c r="H960" s="74"/>
      <c r="I960" s="74"/>
      <c r="J960" s="74"/>
      <c r="K960" s="74"/>
      <c r="N960" s="162"/>
    </row>
    <row r="961" spans="1:32" s="41" customFormat="1" ht="15.75" thickBot="1" x14ac:dyDescent="0.3">
      <c r="A961" s="28"/>
      <c r="B961" s="234" t="str">
        <f>+B73</f>
        <v>Successful</v>
      </c>
      <c r="C961" s="235"/>
      <c r="D961" s="236" t="str">
        <f>+D73</f>
        <v>Unsuccessful</v>
      </c>
      <c r="E961" s="237"/>
      <c r="F961" s="238" t="s">
        <v>16</v>
      </c>
      <c r="G961" s="239"/>
      <c r="H961" s="206">
        <f>+H73</f>
        <v>2021</v>
      </c>
      <c r="I961" s="207"/>
      <c r="J961" s="208"/>
      <c r="K961" s="206">
        <f>+K73</f>
        <v>2020</v>
      </c>
      <c r="L961" s="207"/>
      <c r="M961" s="208"/>
      <c r="N961" s="206">
        <f>+N73</f>
        <v>2019</v>
      </c>
      <c r="O961" s="207"/>
      <c r="P961" s="208"/>
      <c r="Q961" s="206">
        <f>+Q73</f>
        <v>2018</v>
      </c>
      <c r="R961" s="207"/>
      <c r="S961" s="208"/>
      <c r="T961" s="206">
        <f>+T73</f>
        <v>2017</v>
      </c>
      <c r="U961" s="207"/>
      <c r="V961" s="208"/>
      <c r="W961" s="209">
        <f>+W73</f>
        <v>2016</v>
      </c>
      <c r="X961" s="210"/>
      <c r="Y961" s="211"/>
      <c r="Z961" s="209">
        <f>+Z73</f>
        <v>2015</v>
      </c>
      <c r="AA961" s="210"/>
      <c r="AB961" s="211"/>
      <c r="AC961" s="165"/>
      <c r="AF961" s="162"/>
    </row>
    <row r="962" spans="1:32" s="41" customFormat="1" ht="29.25" customHeight="1" thickBot="1" x14ac:dyDescent="0.25">
      <c r="A962" s="28"/>
      <c r="B962" s="29" t="s">
        <v>37</v>
      </c>
      <c r="C962" s="30" t="s">
        <v>38</v>
      </c>
      <c r="D962" s="29" t="s">
        <v>37</v>
      </c>
      <c r="E962" s="30" t="s">
        <v>38</v>
      </c>
      <c r="F962" s="29" t="s">
        <v>37</v>
      </c>
      <c r="G962" s="30" t="s">
        <v>38</v>
      </c>
      <c r="H962" s="186" t="s">
        <v>132</v>
      </c>
      <c r="I962" s="187" t="s">
        <v>133</v>
      </c>
      <c r="J962" s="44" t="s">
        <v>16</v>
      </c>
      <c r="K962" s="186" t="s">
        <v>132</v>
      </c>
      <c r="L962" s="187" t="s">
        <v>133</v>
      </c>
      <c r="M962" s="44" t="s">
        <v>16</v>
      </c>
      <c r="N962" s="186" t="s">
        <v>132</v>
      </c>
      <c r="O962" s="187" t="s">
        <v>133</v>
      </c>
      <c r="P962" s="44" t="s">
        <v>16</v>
      </c>
      <c r="Q962" s="186" t="s">
        <v>132</v>
      </c>
      <c r="R962" s="187" t="s">
        <v>133</v>
      </c>
      <c r="S962" s="44" t="s">
        <v>16</v>
      </c>
      <c r="T962" s="186" t="s">
        <v>132</v>
      </c>
      <c r="U962" s="187" t="s">
        <v>133</v>
      </c>
      <c r="V962" s="44" t="s">
        <v>16</v>
      </c>
      <c r="W962" s="186" t="s">
        <v>132</v>
      </c>
      <c r="X962" s="187" t="s">
        <v>133</v>
      </c>
      <c r="Y962" s="44" t="s">
        <v>16</v>
      </c>
      <c r="Z962" s="186" t="s">
        <v>132</v>
      </c>
      <c r="AA962" s="187" t="s">
        <v>133</v>
      </c>
      <c r="AB962" s="44" t="s">
        <v>16</v>
      </c>
    </row>
    <row r="963" spans="1:32" s="41" customFormat="1" x14ac:dyDescent="0.2">
      <c r="A963" s="98" t="s">
        <v>134</v>
      </c>
      <c r="B963" s="31">
        <f>COUNTIFS(DATA!$AI$3:$AI$7183,1,DATA!$D$3:$D$7183,260)</f>
        <v>18</v>
      </c>
      <c r="C963" s="35">
        <f>IF(B967=0,0,+B963/B967)</f>
        <v>0.75</v>
      </c>
      <c r="D963" s="31">
        <f>COUNTIFS(DATA!$AI$3:$AI$7183,1,DATA!$D$3:$D$7183,280)</f>
        <v>18</v>
      </c>
      <c r="E963" s="35">
        <f>+D963/D967</f>
        <v>0.46153846153846156</v>
      </c>
      <c r="F963" s="31">
        <f>+D963+B963</f>
        <v>36</v>
      </c>
      <c r="G963" s="35">
        <f>+F963/F967</f>
        <v>0.5714285714285714</v>
      </c>
      <c r="H963" s="35">
        <v>0.83333333333333337</v>
      </c>
      <c r="I963" s="180">
        <v>0.28205128205128205</v>
      </c>
      <c r="J963" s="182">
        <v>0.45614035087719296</v>
      </c>
      <c r="K963" s="35">
        <v>0.76470588235294112</v>
      </c>
      <c r="L963" s="180">
        <v>0.38461538461538464</v>
      </c>
      <c r="M963" s="182">
        <v>0.47826086956521741</v>
      </c>
      <c r="N963" s="35">
        <v>0.47619047619047616</v>
      </c>
      <c r="O963" s="180">
        <v>0.43055555555555558</v>
      </c>
      <c r="P963" s="182">
        <v>0.44086021505376344</v>
      </c>
      <c r="Q963" s="35">
        <v>0.59</v>
      </c>
      <c r="R963" s="180">
        <v>0.28999999999999998</v>
      </c>
      <c r="S963" s="182">
        <v>0.38</v>
      </c>
      <c r="T963" s="35">
        <v>0.68421052631578949</v>
      </c>
      <c r="U963" s="180">
        <v>0.38461538461538464</v>
      </c>
      <c r="V963" s="182">
        <v>0.49514563106796117</v>
      </c>
      <c r="W963" s="181">
        <v>0.76315789473684215</v>
      </c>
      <c r="X963" s="180">
        <v>0.42857142857142855</v>
      </c>
      <c r="Y963" s="182">
        <v>0.56382978723404253</v>
      </c>
      <c r="Z963" s="181">
        <v>0.62962962962962965</v>
      </c>
      <c r="AA963" s="180">
        <v>0.57446808510638303</v>
      </c>
      <c r="AB963" s="182">
        <v>0.59459459459459463</v>
      </c>
    </row>
    <row r="964" spans="1:32" s="41" customFormat="1" ht="14.25" customHeight="1" x14ac:dyDescent="0.2">
      <c r="A964" s="99" t="s">
        <v>135</v>
      </c>
      <c r="B964" s="31">
        <f>COUNTIFS(DATA!$AI$3:$AI$7183,2,DATA!$D$3:$D$7183,260)</f>
        <v>5</v>
      </c>
      <c r="C964" s="35">
        <f>IF(B967=0,0,+B964/B967)</f>
        <v>0.20833333333333334</v>
      </c>
      <c r="D964" s="42">
        <f>COUNTIFS(DATA!$AI$3:$AI$7183,2,DATA!$D$3:$D$7183,280)</f>
        <v>9</v>
      </c>
      <c r="E964" s="35">
        <f>+D964/D967</f>
        <v>0.23076923076923078</v>
      </c>
      <c r="F964" s="42">
        <f t="shared" ref="F964:F966" si="115">+D964+B964</f>
        <v>14</v>
      </c>
      <c r="G964" s="35">
        <f>+F964/F967</f>
        <v>0.22222222222222221</v>
      </c>
      <c r="H964" s="35">
        <v>5.5555555555555552E-2</v>
      </c>
      <c r="I964" s="180">
        <v>0.38461538461538464</v>
      </c>
      <c r="J964" s="182">
        <v>0.2807017543859649</v>
      </c>
      <c r="K964" s="35">
        <v>0.11764705882352941</v>
      </c>
      <c r="L964" s="180">
        <v>0.32692307692307693</v>
      </c>
      <c r="M964" s="182">
        <v>0.27536231884057971</v>
      </c>
      <c r="N964" s="35">
        <v>0.23809523809523808</v>
      </c>
      <c r="O964" s="180">
        <v>0.29166666666666669</v>
      </c>
      <c r="P964" s="182">
        <v>0.27956989247311825</v>
      </c>
      <c r="Q964" s="35">
        <v>0.14000000000000001</v>
      </c>
      <c r="R964" s="180">
        <v>0.42</v>
      </c>
      <c r="S964" s="182">
        <v>0.33</v>
      </c>
      <c r="T964" s="35">
        <v>0.13157894736842105</v>
      </c>
      <c r="U964" s="180">
        <v>0.30769230769230771</v>
      </c>
      <c r="V964" s="182">
        <v>0.24271844660194175</v>
      </c>
      <c r="W964" s="181">
        <v>0.15789473684210525</v>
      </c>
      <c r="X964" s="180">
        <v>0.375</v>
      </c>
      <c r="Y964" s="182">
        <v>0.28723404255319152</v>
      </c>
      <c r="Z964" s="181">
        <v>0.18518518518518517</v>
      </c>
      <c r="AA964" s="180">
        <v>0.23404255319148937</v>
      </c>
      <c r="AB964" s="182">
        <v>0.21621621621621623</v>
      </c>
    </row>
    <row r="965" spans="1:32" s="41" customFormat="1" ht="14.25" customHeight="1" x14ac:dyDescent="0.2">
      <c r="A965" s="92" t="s">
        <v>94</v>
      </c>
      <c r="B965" s="31">
        <f>COUNTIFS(DATA!$AI$3:$AI$7183,"3",DATA!$D$3:$D$7183,260)</f>
        <v>1</v>
      </c>
      <c r="C965" s="35">
        <f>IF(B967=0,0,+B965/B967)</f>
        <v>4.1666666666666664E-2</v>
      </c>
      <c r="D965" s="42">
        <f>COUNTIFS(DATA!$AI$3:$AI$7183,"3",DATA!$D$3:$D$7183,280)</f>
        <v>10</v>
      </c>
      <c r="E965" s="35">
        <f>+D965/D967</f>
        <v>0.25641025641025639</v>
      </c>
      <c r="F965" s="42">
        <f t="shared" si="115"/>
        <v>11</v>
      </c>
      <c r="G965" s="35">
        <f>+F965/F967</f>
        <v>0.17460317460317459</v>
      </c>
      <c r="H965" s="35">
        <v>5.5555555555555552E-2</v>
      </c>
      <c r="I965" s="180">
        <v>0.25641025641025639</v>
      </c>
      <c r="J965" s="182">
        <v>0.19298245614035087</v>
      </c>
      <c r="K965" s="35">
        <v>0.11764705882352941</v>
      </c>
      <c r="L965" s="180">
        <v>0.28846153846153844</v>
      </c>
      <c r="M965" s="182">
        <v>0.24637681159420291</v>
      </c>
      <c r="N965" s="35">
        <v>0.14285714285714285</v>
      </c>
      <c r="O965" s="180">
        <v>0.22222222222222221</v>
      </c>
      <c r="P965" s="182">
        <v>0.20430107526881722</v>
      </c>
      <c r="Q965" s="35">
        <v>0.28000000000000003</v>
      </c>
      <c r="R965" s="180">
        <v>0.24</v>
      </c>
      <c r="S965" s="182">
        <v>0.25</v>
      </c>
      <c r="T965" s="35">
        <v>0.18421052631578946</v>
      </c>
      <c r="U965" s="180">
        <v>0.27692307692307694</v>
      </c>
      <c r="V965" s="182">
        <v>0.24271844660194175</v>
      </c>
      <c r="W965" s="181">
        <v>5.2631578947368418E-2</v>
      </c>
      <c r="X965" s="180">
        <v>0.10714285714285714</v>
      </c>
      <c r="Y965" s="182">
        <v>8.5106382978723402E-2</v>
      </c>
      <c r="Z965" s="181">
        <v>0.18518518518518517</v>
      </c>
      <c r="AA965" s="180">
        <v>0.14893617021276595</v>
      </c>
      <c r="AB965" s="182">
        <v>0.16216216216216217</v>
      </c>
    </row>
    <row r="966" spans="1:32" s="41" customFormat="1" ht="15" thickBot="1" x14ac:dyDescent="0.25">
      <c r="A966" s="93" t="s">
        <v>39</v>
      </c>
      <c r="B966" s="31">
        <f>COUNTIFS(DATA!$AI$3:$AI$7183,"4",DATA!$D$3:$D$7183,260)</f>
        <v>0</v>
      </c>
      <c r="C966" s="35">
        <f>IF(B967=0,0,+B966/B967)</f>
        <v>0</v>
      </c>
      <c r="D966" s="42">
        <f>COUNTIFS(DATA!$AI$3:$AI$7183,"4",DATA!$D$3:$D$7183,280)</f>
        <v>2</v>
      </c>
      <c r="E966" s="35">
        <f>+D966/D967</f>
        <v>5.128205128205128E-2</v>
      </c>
      <c r="F966" s="42">
        <f t="shared" si="115"/>
        <v>2</v>
      </c>
      <c r="G966" s="35">
        <f>+F966/F967</f>
        <v>3.1746031746031744E-2</v>
      </c>
      <c r="H966" s="35">
        <v>5.5555555555555552E-2</v>
      </c>
      <c r="I966" s="180">
        <v>7.6923076923076927E-2</v>
      </c>
      <c r="J966" s="182">
        <v>7.0175438596491224E-2</v>
      </c>
      <c r="K966" s="35">
        <v>0</v>
      </c>
      <c r="L966" s="180">
        <v>0</v>
      </c>
      <c r="M966" s="182">
        <v>0</v>
      </c>
      <c r="N966" s="35">
        <v>0.14285714285714285</v>
      </c>
      <c r="O966" s="180">
        <v>5.5555555555555552E-2</v>
      </c>
      <c r="P966" s="182">
        <v>7.5268817204301078E-2</v>
      </c>
      <c r="Q966" s="35">
        <v>0</v>
      </c>
      <c r="R966" s="180">
        <v>0.05</v>
      </c>
      <c r="S966" s="182">
        <v>0.03</v>
      </c>
      <c r="T966" s="35">
        <v>0</v>
      </c>
      <c r="U966" s="180">
        <v>3.0769230769230771E-2</v>
      </c>
      <c r="V966" s="182">
        <v>1.9417475728155338E-2</v>
      </c>
      <c r="W966" s="181">
        <v>2.6315789473684209E-2</v>
      </c>
      <c r="X966" s="180">
        <v>8.9285714285714288E-2</v>
      </c>
      <c r="Y966" s="182">
        <v>6.3829787234042548E-2</v>
      </c>
      <c r="Z966" s="181">
        <v>0</v>
      </c>
      <c r="AA966" s="180">
        <v>4.2553191489361701E-2</v>
      </c>
      <c r="AB966" s="182">
        <v>2.7027027027027029E-2</v>
      </c>
      <c r="AC966" s="74"/>
      <c r="AF966" s="162"/>
    </row>
    <row r="967" spans="1:32" s="41" customFormat="1" ht="15.75" thickBot="1" x14ac:dyDescent="0.3">
      <c r="A967" s="111" t="s">
        <v>16</v>
      </c>
      <c r="B967" s="101">
        <f>SUM(B963:B966)</f>
        <v>24</v>
      </c>
      <c r="C967" s="114">
        <f>IF(B967=0,0,+B967/B967)</f>
        <v>1</v>
      </c>
      <c r="D967" s="101">
        <f>SUM(D963:D966)</f>
        <v>39</v>
      </c>
      <c r="E967" s="114">
        <f>+D967/D967</f>
        <v>1</v>
      </c>
      <c r="F967" s="101">
        <f>SUM(F963:F966)</f>
        <v>63</v>
      </c>
      <c r="G967" s="114">
        <f>+F967/F967</f>
        <v>1</v>
      </c>
      <c r="H967" s="183">
        <v>1</v>
      </c>
      <c r="I967" s="184">
        <v>1</v>
      </c>
      <c r="J967" s="185">
        <v>1</v>
      </c>
      <c r="K967" s="183">
        <v>1</v>
      </c>
      <c r="L967" s="184">
        <v>1</v>
      </c>
      <c r="M967" s="185">
        <v>1</v>
      </c>
      <c r="N967" s="183">
        <v>1</v>
      </c>
      <c r="O967" s="184">
        <v>1</v>
      </c>
      <c r="P967" s="185">
        <v>1</v>
      </c>
      <c r="Q967" s="183">
        <v>1</v>
      </c>
      <c r="R967" s="184">
        <v>1</v>
      </c>
      <c r="S967" s="185">
        <v>1</v>
      </c>
      <c r="T967" s="183">
        <v>1</v>
      </c>
      <c r="U967" s="184">
        <v>1</v>
      </c>
      <c r="V967" s="185">
        <v>1</v>
      </c>
      <c r="W967" s="183">
        <v>1</v>
      </c>
      <c r="X967" s="184">
        <v>1</v>
      </c>
      <c r="Y967" s="185">
        <v>1</v>
      </c>
      <c r="Z967" s="183">
        <v>1</v>
      </c>
      <c r="AA967" s="184">
        <v>1</v>
      </c>
      <c r="AB967" s="185">
        <v>1</v>
      </c>
      <c r="AF967" s="162"/>
    </row>
    <row r="968" spans="1:32" s="41" customFormat="1" x14ac:dyDescent="0.2">
      <c r="N968" s="162"/>
    </row>
    <row r="969" spans="1:32" s="41" customFormat="1" x14ac:dyDescent="0.2">
      <c r="N969" s="162"/>
    </row>
    <row r="970" spans="1:32" s="41" customFormat="1" ht="14.25" customHeight="1" x14ac:dyDescent="0.2">
      <c r="K970" s="213" t="s">
        <v>176</v>
      </c>
      <c r="L970" s="213"/>
      <c r="M970" s="213"/>
      <c r="N970" s="213"/>
      <c r="O970" s="213"/>
      <c r="P970" s="213"/>
      <c r="Q970" s="213"/>
      <c r="R970" s="213"/>
    </row>
    <row r="971" spans="1:32" s="41" customFormat="1" x14ac:dyDescent="0.2">
      <c r="K971" s="213"/>
      <c r="L971" s="213"/>
      <c r="M971" s="213"/>
      <c r="N971" s="213"/>
      <c r="O971" s="213"/>
      <c r="P971" s="213"/>
      <c r="Q971" s="213"/>
      <c r="R971" s="213"/>
    </row>
    <row r="972" spans="1:32" s="41" customFormat="1" x14ac:dyDescent="0.2">
      <c r="K972" s="221" t="s">
        <v>7170</v>
      </c>
      <c r="L972" s="219"/>
      <c r="M972" s="219"/>
      <c r="N972" s="219"/>
      <c r="O972" s="219"/>
      <c r="P972" s="219"/>
      <c r="Q972" s="219"/>
      <c r="R972" s="219"/>
    </row>
    <row r="973" spans="1:32" s="41" customFormat="1" x14ac:dyDescent="0.2">
      <c r="K973" s="214" t="s">
        <v>7171</v>
      </c>
      <c r="L973" s="215"/>
      <c r="M973" s="215"/>
      <c r="N973" s="215"/>
      <c r="O973" s="215"/>
      <c r="P973" s="215"/>
      <c r="Q973" s="215"/>
      <c r="R973" s="215"/>
    </row>
    <row r="974" spans="1:32" s="41" customFormat="1" x14ac:dyDescent="0.2">
      <c r="N974" s="162"/>
    </row>
    <row r="975" spans="1:32" s="41" customFormat="1" x14ac:dyDescent="0.2">
      <c r="N975" s="162"/>
    </row>
    <row r="976" spans="1:32" s="41" customFormat="1" x14ac:dyDescent="0.2">
      <c r="N976" s="162"/>
    </row>
    <row r="977" spans="14:14" s="41" customFormat="1" x14ac:dyDescent="0.2">
      <c r="N977" s="162"/>
    </row>
    <row r="978" spans="14:14" s="41" customFormat="1" x14ac:dyDescent="0.2">
      <c r="N978" s="162"/>
    </row>
    <row r="979" spans="14:14" s="41" customFormat="1" x14ac:dyDescent="0.2">
      <c r="N979" s="162"/>
    </row>
    <row r="980" spans="14:14" s="41" customFormat="1" x14ac:dyDescent="0.2">
      <c r="N980" s="162"/>
    </row>
    <row r="981" spans="14:14" s="41" customFormat="1" x14ac:dyDescent="0.2">
      <c r="N981" s="162"/>
    </row>
    <row r="982" spans="14:14" s="41" customFormat="1" x14ac:dyDescent="0.2">
      <c r="N982" s="162"/>
    </row>
    <row r="983" spans="14:14" s="41" customFormat="1" x14ac:dyDescent="0.2">
      <c r="N983" s="162"/>
    </row>
    <row r="984" spans="14:14" s="41" customFormat="1" x14ac:dyDescent="0.2">
      <c r="N984" s="162"/>
    </row>
    <row r="985" spans="14:14" s="41" customFormat="1" x14ac:dyDescent="0.2">
      <c r="N985" s="162"/>
    </row>
    <row r="986" spans="14:14" s="41" customFormat="1" x14ac:dyDescent="0.2">
      <c r="N986" s="162"/>
    </row>
    <row r="987" spans="14:14" s="41" customFormat="1" x14ac:dyDescent="0.2">
      <c r="N987" s="162"/>
    </row>
    <row r="988" spans="14:14" s="41" customFormat="1" x14ac:dyDescent="0.2">
      <c r="N988" s="162"/>
    </row>
    <row r="989" spans="14:14" s="41" customFormat="1" x14ac:dyDescent="0.2">
      <c r="N989" s="162"/>
    </row>
    <row r="990" spans="14:14" s="41" customFormat="1" x14ac:dyDescent="0.2">
      <c r="N990" s="162"/>
    </row>
    <row r="991" spans="14:14" s="41" customFormat="1" x14ac:dyDescent="0.2">
      <c r="N991" s="162"/>
    </row>
    <row r="992" spans="14:14" s="41" customFormat="1" x14ac:dyDescent="0.2">
      <c r="N992" s="162"/>
    </row>
    <row r="993" spans="1:36" s="41" customFormat="1" x14ac:dyDescent="0.2">
      <c r="N993" s="162"/>
    </row>
    <row r="994" spans="1:36" s="41" customFormat="1" ht="15" thickBot="1" x14ac:dyDescent="0.25">
      <c r="N994" s="162"/>
    </row>
    <row r="995" spans="1:36" s="41" customFormat="1" ht="57" customHeight="1" thickBot="1" x14ac:dyDescent="0.25">
      <c r="A995" s="240" t="s">
        <v>117</v>
      </c>
      <c r="B995" s="241"/>
      <c r="C995" s="241"/>
      <c r="D995" s="241"/>
      <c r="E995" s="241"/>
      <c r="F995" s="241"/>
      <c r="G995" s="242"/>
      <c r="H995" s="74"/>
      <c r="I995" s="74"/>
      <c r="J995" s="74"/>
      <c r="K995" s="74"/>
      <c r="N995" s="162"/>
    </row>
    <row r="996" spans="1:36" s="41" customFormat="1" ht="15.75" thickBot="1" x14ac:dyDescent="0.3">
      <c r="A996" s="28"/>
      <c r="B996" s="234" t="str">
        <f>+B73</f>
        <v>Successful</v>
      </c>
      <c r="C996" s="235"/>
      <c r="D996" s="236" t="str">
        <f>+D73</f>
        <v>Unsuccessful</v>
      </c>
      <c r="E996" s="237"/>
      <c r="F996" s="238" t="s">
        <v>16</v>
      </c>
      <c r="G996" s="239"/>
      <c r="H996" s="206">
        <f>+H73</f>
        <v>2021</v>
      </c>
      <c r="I996" s="207"/>
      <c r="J996" s="208"/>
      <c r="K996" s="206">
        <f>+K73</f>
        <v>2020</v>
      </c>
      <c r="L996" s="207"/>
      <c r="M996" s="208"/>
      <c r="N996" s="206">
        <f>+N73</f>
        <v>2019</v>
      </c>
      <c r="O996" s="207"/>
      <c r="P996" s="208"/>
      <c r="Q996" s="206">
        <f>+Q73</f>
        <v>2018</v>
      </c>
      <c r="R996" s="207"/>
      <c r="S996" s="208"/>
      <c r="T996" s="206">
        <f>+T73</f>
        <v>2017</v>
      </c>
      <c r="U996" s="207"/>
      <c r="V996" s="208"/>
      <c r="W996" s="209">
        <f>+W73</f>
        <v>2016</v>
      </c>
      <c r="X996" s="210"/>
      <c r="Y996" s="211"/>
      <c r="Z996" s="209">
        <f>+Z73</f>
        <v>2015</v>
      </c>
      <c r="AA996" s="210"/>
      <c r="AB996" s="211"/>
      <c r="AC996" s="165"/>
      <c r="AF996" s="162"/>
    </row>
    <row r="997" spans="1:36" s="41" customFormat="1" ht="29.25" customHeight="1" thickBot="1" x14ac:dyDescent="0.25">
      <c r="A997" s="28"/>
      <c r="B997" s="29" t="s">
        <v>37</v>
      </c>
      <c r="C997" s="30" t="s">
        <v>38</v>
      </c>
      <c r="D997" s="29" t="s">
        <v>37</v>
      </c>
      <c r="E997" s="30" t="s">
        <v>38</v>
      </c>
      <c r="F997" s="29" t="s">
        <v>37</v>
      </c>
      <c r="G997" s="30" t="s">
        <v>38</v>
      </c>
      <c r="H997" s="186" t="s">
        <v>132</v>
      </c>
      <c r="I997" s="187" t="s">
        <v>133</v>
      </c>
      <c r="J997" s="44" t="s">
        <v>16</v>
      </c>
      <c r="K997" s="186" t="s">
        <v>132</v>
      </c>
      <c r="L997" s="187" t="s">
        <v>133</v>
      </c>
      <c r="M997" s="44" t="s">
        <v>16</v>
      </c>
      <c r="N997" s="186" t="s">
        <v>132</v>
      </c>
      <c r="O997" s="187" t="s">
        <v>133</v>
      </c>
      <c r="P997" s="44" t="s">
        <v>16</v>
      </c>
      <c r="Q997" s="186" t="s">
        <v>132</v>
      </c>
      <c r="R997" s="187" t="s">
        <v>133</v>
      </c>
      <c r="S997" s="44" t="s">
        <v>16</v>
      </c>
      <c r="T997" s="186" t="s">
        <v>132</v>
      </c>
      <c r="U997" s="187" t="s">
        <v>133</v>
      </c>
      <c r="V997" s="44" t="s">
        <v>16</v>
      </c>
      <c r="W997" s="186" t="s">
        <v>132</v>
      </c>
      <c r="X997" s="187" t="s">
        <v>133</v>
      </c>
      <c r="Y997" s="44" t="s">
        <v>16</v>
      </c>
      <c r="Z997" s="186" t="s">
        <v>132</v>
      </c>
      <c r="AA997" s="187" t="s">
        <v>133</v>
      </c>
      <c r="AB997" s="44" t="s">
        <v>16</v>
      </c>
    </row>
    <row r="998" spans="1:36" s="41" customFormat="1" x14ac:dyDescent="0.2">
      <c r="A998" s="98" t="s">
        <v>134</v>
      </c>
      <c r="B998" s="31">
        <f>COUNTIFS(DATA!$AJ$3:$AJ$7183,1,DATA!$D$3:$D$7183,260)</f>
        <v>13</v>
      </c>
      <c r="C998" s="35">
        <f>IF(B1002=0,0,+B998/B1002)</f>
        <v>0.54166666666666663</v>
      </c>
      <c r="D998" s="31">
        <f>COUNTIFS(DATA!$AJ$3:$AJ$7183,1,DATA!$D$3:$D$7183,280)</f>
        <v>10</v>
      </c>
      <c r="E998" s="35">
        <f>+D998/D1002</f>
        <v>0.25641025641025639</v>
      </c>
      <c r="F998" s="31">
        <f>+D998+B998</f>
        <v>23</v>
      </c>
      <c r="G998" s="35">
        <f>+F998/F1002</f>
        <v>0.36507936507936506</v>
      </c>
      <c r="H998" s="181">
        <v>0.3888888888888889</v>
      </c>
      <c r="I998" s="180">
        <v>0.15384615384615385</v>
      </c>
      <c r="J998" s="182">
        <v>0.22807017543859648</v>
      </c>
      <c r="K998" s="181">
        <v>0.52941176470588236</v>
      </c>
      <c r="L998" s="180">
        <v>0.26923076923076922</v>
      </c>
      <c r="M998" s="182">
        <v>0.33333333333333331</v>
      </c>
      <c r="N998" s="181">
        <v>0.38095238095238093</v>
      </c>
      <c r="O998" s="180">
        <v>0.31944444444444442</v>
      </c>
      <c r="P998" s="182">
        <v>0.33333333333333331</v>
      </c>
      <c r="Q998" s="181">
        <v>0.41</v>
      </c>
      <c r="R998" s="180">
        <v>0.18</v>
      </c>
      <c r="S998" s="182">
        <v>0.25</v>
      </c>
      <c r="T998" s="181">
        <v>0.44736842105263158</v>
      </c>
      <c r="U998" s="180">
        <v>0.33846153846153848</v>
      </c>
      <c r="V998" s="182">
        <v>0.37864077669902912</v>
      </c>
      <c r="W998" s="181">
        <v>0.52631578947368418</v>
      </c>
      <c r="X998" s="180">
        <v>0.23214285714285715</v>
      </c>
      <c r="Y998" s="182">
        <v>0.35106382978723405</v>
      </c>
      <c r="Z998" s="181">
        <v>0.44444444444444442</v>
      </c>
      <c r="AA998" s="180">
        <v>0.38297872340425532</v>
      </c>
      <c r="AB998" s="182">
        <v>0.40540540540540543</v>
      </c>
    </row>
    <row r="999" spans="1:36" s="41" customFormat="1" ht="28.5" customHeight="1" x14ac:dyDescent="0.2">
      <c r="A999" s="99" t="s">
        <v>135</v>
      </c>
      <c r="B999" s="31">
        <f>COUNTIFS(DATA!$AJ$3:$AJ$7183,2,DATA!$D$3:$D$7183,260)</f>
        <v>8</v>
      </c>
      <c r="C999" s="35">
        <f>IF(B1002=0,0,+B999/B1002)</f>
        <v>0.33333333333333331</v>
      </c>
      <c r="D999" s="42">
        <f>COUNTIFS(DATA!$AJ$3:$AJ$7183,2,DATA!$D$3:$D$7183,280)</f>
        <v>11</v>
      </c>
      <c r="E999" s="35">
        <f>+D999/D1002</f>
        <v>0.28205128205128205</v>
      </c>
      <c r="F999" s="42">
        <f t="shared" ref="F999:F1001" si="116">+D999+B999</f>
        <v>19</v>
      </c>
      <c r="G999" s="35">
        <f>+F999/F1002</f>
        <v>0.30158730158730157</v>
      </c>
      <c r="H999" s="181">
        <v>0.3888888888888889</v>
      </c>
      <c r="I999" s="180">
        <v>0.48717948717948717</v>
      </c>
      <c r="J999" s="182">
        <v>0.45614035087719296</v>
      </c>
      <c r="K999" s="181">
        <v>0.23529411764705882</v>
      </c>
      <c r="L999" s="180">
        <v>0.36538461538461536</v>
      </c>
      <c r="M999" s="182">
        <v>0.33333333333333331</v>
      </c>
      <c r="N999" s="181">
        <v>0.33333333333333331</v>
      </c>
      <c r="O999" s="180">
        <v>0.31944444444444442</v>
      </c>
      <c r="P999" s="182">
        <v>0.32258064516129031</v>
      </c>
      <c r="Q999" s="181">
        <v>0.38</v>
      </c>
      <c r="R999" s="180">
        <v>0.47</v>
      </c>
      <c r="S999" s="182">
        <v>0.44</v>
      </c>
      <c r="T999" s="181">
        <v>0.26315789473684209</v>
      </c>
      <c r="U999" s="180">
        <v>0.36923076923076925</v>
      </c>
      <c r="V999" s="182">
        <v>0.3300970873786408</v>
      </c>
      <c r="W999" s="181">
        <v>0.28947368421052633</v>
      </c>
      <c r="X999" s="180">
        <v>0.4642857142857143</v>
      </c>
      <c r="Y999" s="182">
        <v>0.39361702127659576</v>
      </c>
      <c r="Z999" s="181">
        <v>0.37037037037037035</v>
      </c>
      <c r="AA999" s="180">
        <v>0.27659574468085107</v>
      </c>
      <c r="AB999" s="182">
        <v>0.3108108108108108</v>
      </c>
    </row>
    <row r="1000" spans="1:36" s="41" customFormat="1" ht="28.5" customHeight="1" x14ac:dyDescent="0.2">
      <c r="A1000" s="92" t="s">
        <v>94</v>
      </c>
      <c r="B1000" s="31">
        <f>COUNTIFS(DATA!$AJ$3:$AJ$7183,"3",DATA!$D$3:$D$7183,260)</f>
        <v>3</v>
      </c>
      <c r="C1000" s="35">
        <f>IF(B1002=0,0,+B1000/B1002)</f>
        <v>0.125</v>
      </c>
      <c r="D1000" s="42">
        <f>COUNTIFS(DATA!$AJ$3:$AJ$7183,"3",DATA!$D$3:$D$7183,280)</f>
        <v>16</v>
      </c>
      <c r="E1000" s="35">
        <f>+D1000/D1002</f>
        <v>0.41025641025641024</v>
      </c>
      <c r="F1000" s="42">
        <f t="shared" si="116"/>
        <v>19</v>
      </c>
      <c r="G1000" s="35">
        <f>+F1000/F1002</f>
        <v>0.30158730158730157</v>
      </c>
      <c r="H1000" s="181">
        <v>0.16666666666666666</v>
      </c>
      <c r="I1000" s="180">
        <v>0.28205128205128205</v>
      </c>
      <c r="J1000" s="182">
        <v>0.24561403508771928</v>
      </c>
      <c r="K1000" s="181">
        <v>0.23529411764705882</v>
      </c>
      <c r="L1000" s="180">
        <v>0.34615384615384615</v>
      </c>
      <c r="M1000" s="182">
        <v>0.3188405797101449</v>
      </c>
      <c r="N1000" s="181">
        <v>9.5238095238095233E-2</v>
      </c>
      <c r="O1000" s="180">
        <v>0.2638888888888889</v>
      </c>
      <c r="P1000" s="182">
        <v>0.22580645161290322</v>
      </c>
      <c r="Q1000" s="181">
        <v>0.21</v>
      </c>
      <c r="R1000" s="180">
        <v>0.28999999999999998</v>
      </c>
      <c r="S1000" s="182">
        <v>0.26</v>
      </c>
      <c r="T1000" s="181">
        <v>0.28947368421052633</v>
      </c>
      <c r="U1000" s="180">
        <v>0.24615384615384617</v>
      </c>
      <c r="V1000" s="182">
        <v>0.26213592233009708</v>
      </c>
      <c r="W1000" s="181">
        <v>0.13157894736842105</v>
      </c>
      <c r="X1000" s="180">
        <v>0.21428571428571427</v>
      </c>
      <c r="Y1000" s="182">
        <v>0.18085106382978725</v>
      </c>
      <c r="Z1000" s="181">
        <v>0.14814814814814814</v>
      </c>
      <c r="AA1000" s="180">
        <v>0.2978723404255319</v>
      </c>
      <c r="AB1000" s="182">
        <v>0.24324324324324326</v>
      </c>
    </row>
    <row r="1001" spans="1:36" s="41" customFormat="1" ht="15" thickBot="1" x14ac:dyDescent="0.25">
      <c r="A1001" s="93" t="s">
        <v>39</v>
      </c>
      <c r="B1001" s="31">
        <f>COUNTIFS(DATA!$AJ$3:$AJ$7183,"4",DATA!$D$3:$D$7183,260)</f>
        <v>0</v>
      </c>
      <c r="C1001" s="35">
        <f>IF(B1002=0,0,+B1001/B1002)</f>
        <v>0</v>
      </c>
      <c r="D1001" s="42">
        <f>COUNTIFS(DATA!$AJ$3:$AJ$7183,"4",DATA!$D$3:$D$7183,280)</f>
        <v>2</v>
      </c>
      <c r="E1001" s="35">
        <f>+D1001/D1002</f>
        <v>5.128205128205128E-2</v>
      </c>
      <c r="F1001" s="42">
        <f t="shared" si="116"/>
        <v>2</v>
      </c>
      <c r="G1001" s="35">
        <f>+F1001/F1002</f>
        <v>3.1746031746031744E-2</v>
      </c>
      <c r="H1001" s="181">
        <v>5.5555555555555552E-2</v>
      </c>
      <c r="I1001" s="180">
        <v>7.6923076923076927E-2</v>
      </c>
      <c r="J1001" s="182">
        <v>7.0175438596491224E-2</v>
      </c>
      <c r="K1001" s="181">
        <v>0</v>
      </c>
      <c r="L1001" s="180">
        <v>1.9230769230769232E-2</v>
      </c>
      <c r="M1001" s="182">
        <v>1.4492753623188406E-2</v>
      </c>
      <c r="N1001" s="181">
        <v>0.19047619047619047</v>
      </c>
      <c r="O1001" s="180">
        <v>9.7222222222222224E-2</v>
      </c>
      <c r="P1001" s="182">
        <v>0.11827956989247312</v>
      </c>
      <c r="Q1001" s="181">
        <v>0</v>
      </c>
      <c r="R1001" s="180">
        <v>0.06</v>
      </c>
      <c r="S1001" s="182">
        <v>0.04</v>
      </c>
      <c r="T1001" s="181">
        <v>0</v>
      </c>
      <c r="U1001" s="180">
        <v>4.6153846153846156E-2</v>
      </c>
      <c r="V1001" s="182">
        <v>2.9126213592233011E-2</v>
      </c>
      <c r="W1001" s="181">
        <v>5.2631578947368418E-2</v>
      </c>
      <c r="X1001" s="180">
        <v>8.9285714285714288E-2</v>
      </c>
      <c r="Y1001" s="182">
        <v>7.4468085106382975E-2</v>
      </c>
      <c r="Z1001" s="181">
        <v>3.7037037037037035E-2</v>
      </c>
      <c r="AA1001" s="180">
        <v>4.2553191489361701E-2</v>
      </c>
      <c r="AB1001" s="182">
        <v>4.0540540540540543E-2</v>
      </c>
      <c r="AC1001" s="163"/>
      <c r="AD1001" s="162"/>
      <c r="AE1001" s="162"/>
      <c r="AF1001" s="162"/>
      <c r="AG1001" s="162"/>
      <c r="AH1001" s="162"/>
      <c r="AI1001" s="162"/>
      <c r="AJ1001" s="162"/>
    </row>
    <row r="1002" spans="1:36" s="41" customFormat="1" ht="15.75" thickBot="1" x14ac:dyDescent="0.3">
      <c r="A1002" s="111" t="s">
        <v>16</v>
      </c>
      <c r="B1002" s="101">
        <f>SUM(B998:B1001)</f>
        <v>24</v>
      </c>
      <c r="C1002" s="114">
        <f>IF(B1002=0,0,+B1002/B1002)</f>
        <v>1</v>
      </c>
      <c r="D1002" s="101">
        <f>SUM(D998:D1001)</f>
        <v>39</v>
      </c>
      <c r="E1002" s="114">
        <f>+D1002/D1002</f>
        <v>1</v>
      </c>
      <c r="F1002" s="101">
        <f>SUM(F998:F1001)</f>
        <v>63</v>
      </c>
      <c r="G1002" s="114">
        <f>+F1002/F1002</f>
        <v>1</v>
      </c>
      <c r="H1002" s="183">
        <v>1</v>
      </c>
      <c r="I1002" s="184">
        <v>1</v>
      </c>
      <c r="J1002" s="185">
        <v>1</v>
      </c>
      <c r="K1002" s="183">
        <v>1</v>
      </c>
      <c r="L1002" s="184">
        <v>1</v>
      </c>
      <c r="M1002" s="185">
        <v>1</v>
      </c>
      <c r="N1002" s="183">
        <v>1</v>
      </c>
      <c r="O1002" s="184">
        <v>1</v>
      </c>
      <c r="P1002" s="185">
        <v>1</v>
      </c>
      <c r="Q1002" s="183">
        <v>1</v>
      </c>
      <c r="R1002" s="184">
        <v>1</v>
      </c>
      <c r="S1002" s="185">
        <v>1</v>
      </c>
      <c r="T1002" s="183">
        <v>1</v>
      </c>
      <c r="U1002" s="184">
        <v>1</v>
      </c>
      <c r="V1002" s="185">
        <v>1</v>
      </c>
      <c r="W1002" s="183">
        <v>1</v>
      </c>
      <c r="X1002" s="184">
        <v>1</v>
      </c>
      <c r="Y1002" s="185">
        <v>1</v>
      </c>
      <c r="Z1002" s="183">
        <v>1</v>
      </c>
      <c r="AA1002" s="184">
        <v>1</v>
      </c>
      <c r="AB1002" s="185">
        <v>1</v>
      </c>
      <c r="AF1002" s="162"/>
    </row>
    <row r="1003" spans="1:36" s="41" customFormat="1" x14ac:dyDescent="0.2">
      <c r="N1003" s="162"/>
    </row>
    <row r="1004" spans="1:36" s="41" customFormat="1" x14ac:dyDescent="0.2">
      <c r="N1004" s="162"/>
    </row>
    <row r="1005" spans="1:36" s="41" customFormat="1" x14ac:dyDescent="0.2">
      <c r="N1005" s="162"/>
    </row>
    <row r="1006" spans="1:36" s="41" customFormat="1" ht="14.25" customHeight="1" x14ac:dyDescent="0.2">
      <c r="K1006" s="213" t="s">
        <v>187</v>
      </c>
      <c r="L1006" s="213"/>
      <c r="M1006" s="213"/>
      <c r="N1006" s="213"/>
      <c r="O1006" s="213"/>
      <c r="P1006" s="213"/>
      <c r="Q1006" s="213"/>
      <c r="R1006" s="213"/>
    </row>
    <row r="1007" spans="1:36" s="41" customFormat="1" x14ac:dyDescent="0.2">
      <c r="K1007" s="213"/>
      <c r="L1007" s="213"/>
      <c r="M1007" s="213"/>
      <c r="N1007" s="213"/>
      <c r="O1007" s="213"/>
      <c r="P1007" s="213"/>
      <c r="Q1007" s="213"/>
      <c r="R1007" s="213"/>
    </row>
    <row r="1008" spans="1:36" s="41" customFormat="1" ht="14.25" customHeight="1" x14ac:dyDescent="0.2">
      <c r="K1008" s="219" t="s">
        <v>7172</v>
      </c>
      <c r="L1008" s="219"/>
      <c r="M1008" s="219"/>
      <c r="N1008" s="219"/>
      <c r="O1008" s="219"/>
      <c r="P1008" s="219"/>
      <c r="Q1008" s="219"/>
      <c r="R1008" s="219"/>
    </row>
    <row r="1009" spans="11:18" s="41" customFormat="1" x14ac:dyDescent="0.2">
      <c r="K1009" s="219"/>
      <c r="L1009" s="219"/>
      <c r="M1009" s="219"/>
      <c r="N1009" s="219"/>
      <c r="O1009" s="219"/>
      <c r="P1009" s="219"/>
      <c r="Q1009" s="219"/>
      <c r="R1009" s="219"/>
    </row>
    <row r="1010" spans="11:18" s="41" customFormat="1" ht="14.25" customHeight="1" x14ac:dyDescent="0.2">
      <c r="K1010" s="215" t="s">
        <v>7173</v>
      </c>
      <c r="L1010" s="215"/>
      <c r="M1010" s="215"/>
      <c r="N1010" s="215"/>
      <c r="O1010" s="215"/>
      <c r="P1010" s="215"/>
      <c r="Q1010" s="215"/>
      <c r="R1010" s="215"/>
    </row>
    <row r="1011" spans="11:18" s="41" customFormat="1" x14ac:dyDescent="0.2">
      <c r="K1011" s="215"/>
      <c r="L1011" s="215"/>
      <c r="M1011" s="215"/>
      <c r="N1011" s="215"/>
      <c r="O1011" s="215"/>
      <c r="P1011" s="215"/>
      <c r="Q1011" s="215"/>
      <c r="R1011" s="215"/>
    </row>
    <row r="1012" spans="11:18" s="41" customFormat="1" x14ac:dyDescent="0.2">
      <c r="N1012" s="162"/>
    </row>
    <row r="1013" spans="11:18" s="41" customFormat="1" x14ac:dyDescent="0.2">
      <c r="N1013" s="162"/>
    </row>
    <row r="1014" spans="11:18" s="41" customFormat="1" x14ac:dyDescent="0.2">
      <c r="N1014" s="162"/>
    </row>
    <row r="1015" spans="11:18" s="41" customFormat="1" x14ac:dyDescent="0.2">
      <c r="N1015" s="162"/>
    </row>
    <row r="1016" spans="11:18" s="41" customFormat="1" x14ac:dyDescent="0.2">
      <c r="N1016" s="162"/>
    </row>
    <row r="1017" spans="11:18" s="41" customFormat="1" x14ac:dyDescent="0.2">
      <c r="N1017" s="162"/>
    </row>
    <row r="1018" spans="11:18" s="41" customFormat="1" x14ac:dyDescent="0.2">
      <c r="N1018" s="162"/>
    </row>
    <row r="1019" spans="11:18" s="41" customFormat="1" x14ac:dyDescent="0.2">
      <c r="N1019" s="162"/>
    </row>
    <row r="1020" spans="11:18" s="41" customFormat="1" x14ac:dyDescent="0.2">
      <c r="N1020" s="162"/>
    </row>
    <row r="1021" spans="11:18" s="41" customFormat="1" x14ac:dyDescent="0.2">
      <c r="N1021" s="162"/>
    </row>
    <row r="1022" spans="11:18" s="41" customFormat="1" x14ac:dyDescent="0.2">
      <c r="N1022" s="162"/>
    </row>
    <row r="1023" spans="11:18" s="41" customFormat="1" x14ac:dyDescent="0.2">
      <c r="N1023" s="162"/>
    </row>
    <row r="1024" spans="11:18" s="41" customFormat="1" x14ac:dyDescent="0.2">
      <c r="N1024" s="162"/>
    </row>
    <row r="1025" spans="1:32" s="41" customFormat="1" x14ac:dyDescent="0.2">
      <c r="N1025" s="162"/>
    </row>
    <row r="1026" spans="1:32" s="41" customFormat="1" x14ac:dyDescent="0.2">
      <c r="N1026" s="162"/>
    </row>
    <row r="1027" spans="1:32" s="41" customFormat="1" x14ac:dyDescent="0.2">
      <c r="N1027" s="162"/>
    </row>
    <row r="1028" spans="1:32" s="41" customFormat="1" x14ac:dyDescent="0.2">
      <c r="N1028" s="162"/>
    </row>
    <row r="1029" spans="1:32" s="41" customFormat="1" ht="15" thickBot="1" x14ac:dyDescent="0.25">
      <c r="N1029" s="162"/>
    </row>
    <row r="1030" spans="1:32" s="41" customFormat="1" ht="42" customHeight="1" thickBot="1" x14ac:dyDescent="0.25">
      <c r="A1030" s="240" t="s">
        <v>118</v>
      </c>
      <c r="B1030" s="241"/>
      <c r="C1030" s="241"/>
      <c r="D1030" s="241"/>
      <c r="E1030" s="241"/>
      <c r="F1030" s="241"/>
      <c r="G1030" s="242"/>
      <c r="H1030" s="74"/>
      <c r="I1030" s="74"/>
      <c r="J1030" s="74"/>
      <c r="K1030" s="74"/>
      <c r="N1030" s="162"/>
    </row>
    <row r="1031" spans="1:32" s="41" customFormat="1" ht="15.75" thickBot="1" x14ac:dyDescent="0.3">
      <c r="A1031" s="28"/>
      <c r="B1031" s="234" t="str">
        <f>+B73</f>
        <v>Successful</v>
      </c>
      <c r="C1031" s="235"/>
      <c r="D1031" s="236" t="str">
        <f>+D73</f>
        <v>Unsuccessful</v>
      </c>
      <c r="E1031" s="237"/>
      <c r="F1031" s="238" t="s">
        <v>16</v>
      </c>
      <c r="G1031" s="239"/>
      <c r="H1031" s="206">
        <f>+H73</f>
        <v>2021</v>
      </c>
      <c r="I1031" s="207"/>
      <c r="J1031" s="208"/>
      <c r="K1031" s="206">
        <f>+K73</f>
        <v>2020</v>
      </c>
      <c r="L1031" s="207"/>
      <c r="M1031" s="208"/>
      <c r="N1031" s="206">
        <f>+N73</f>
        <v>2019</v>
      </c>
      <c r="O1031" s="207"/>
      <c r="P1031" s="208"/>
      <c r="Q1031" s="206">
        <f>+Q73</f>
        <v>2018</v>
      </c>
      <c r="R1031" s="207"/>
      <c r="S1031" s="208"/>
      <c r="T1031" s="206">
        <f>+T73</f>
        <v>2017</v>
      </c>
      <c r="U1031" s="207"/>
      <c r="V1031" s="208"/>
      <c r="W1031" s="209">
        <f>+W73</f>
        <v>2016</v>
      </c>
      <c r="X1031" s="210"/>
      <c r="Y1031" s="211"/>
      <c r="Z1031" s="209">
        <f>+Z73</f>
        <v>2015</v>
      </c>
      <c r="AA1031" s="210"/>
      <c r="AB1031" s="211"/>
      <c r="AC1031" s="165"/>
      <c r="AF1031" s="162"/>
    </row>
    <row r="1032" spans="1:32" s="41" customFormat="1" ht="29.25" customHeight="1" thickBot="1" x14ac:dyDescent="0.25">
      <c r="A1032" s="28"/>
      <c r="B1032" s="29" t="s">
        <v>37</v>
      </c>
      <c r="C1032" s="30" t="s">
        <v>38</v>
      </c>
      <c r="D1032" s="29" t="s">
        <v>37</v>
      </c>
      <c r="E1032" s="30" t="s">
        <v>38</v>
      </c>
      <c r="F1032" s="29" t="s">
        <v>37</v>
      </c>
      <c r="G1032" s="30" t="s">
        <v>38</v>
      </c>
      <c r="H1032" s="186" t="s">
        <v>132</v>
      </c>
      <c r="I1032" s="187" t="s">
        <v>133</v>
      </c>
      <c r="J1032" s="44" t="s">
        <v>16</v>
      </c>
      <c r="K1032" s="186" t="s">
        <v>132</v>
      </c>
      <c r="L1032" s="187" t="s">
        <v>133</v>
      </c>
      <c r="M1032" s="44" t="s">
        <v>16</v>
      </c>
      <c r="N1032" s="186" t="s">
        <v>132</v>
      </c>
      <c r="O1032" s="187" t="s">
        <v>133</v>
      </c>
      <c r="P1032" s="44" t="s">
        <v>16</v>
      </c>
      <c r="Q1032" s="186" t="s">
        <v>132</v>
      </c>
      <c r="R1032" s="187" t="s">
        <v>133</v>
      </c>
      <c r="S1032" s="44" t="s">
        <v>16</v>
      </c>
      <c r="T1032" s="186" t="s">
        <v>132</v>
      </c>
      <c r="U1032" s="187" t="s">
        <v>133</v>
      </c>
      <c r="V1032" s="44" t="s">
        <v>16</v>
      </c>
      <c r="W1032" s="186" t="s">
        <v>132</v>
      </c>
      <c r="X1032" s="187" t="s">
        <v>133</v>
      </c>
      <c r="Y1032" s="44" t="s">
        <v>16</v>
      </c>
      <c r="Z1032" s="186" t="s">
        <v>132</v>
      </c>
      <c r="AA1032" s="187" t="s">
        <v>133</v>
      </c>
      <c r="AB1032" s="44" t="s">
        <v>16</v>
      </c>
    </row>
    <row r="1033" spans="1:32" s="41" customFormat="1" x14ac:dyDescent="0.2">
      <c r="A1033" s="98" t="s">
        <v>134</v>
      </c>
      <c r="B1033" s="31">
        <f>COUNTIFS(DATA!$AK$3:$AK$7183,1,DATA!$D$3:$D$7183,260)</f>
        <v>11</v>
      </c>
      <c r="C1033" s="35">
        <f>IF(B1037=0,0,+B1033/B1037)</f>
        <v>0.45833333333333331</v>
      </c>
      <c r="D1033" s="31">
        <f>COUNTIFS(DATA!$AK$3:$AK$7183,1,DATA!$D$3:$D$7183,280)</f>
        <v>4</v>
      </c>
      <c r="E1033" s="35">
        <f>+D1033/D1037</f>
        <v>0.10256410256410256</v>
      </c>
      <c r="F1033" s="31">
        <f>+D1033+B1033</f>
        <v>15</v>
      </c>
      <c r="G1033" s="35">
        <f>+F1033/F1037</f>
        <v>0.23809523809523808</v>
      </c>
      <c r="H1033" s="181">
        <v>0.33333333333333331</v>
      </c>
      <c r="I1033" s="180">
        <v>2.564102564102564E-2</v>
      </c>
      <c r="J1033" s="182">
        <v>0.12280701754385964</v>
      </c>
      <c r="K1033" s="181">
        <v>0.23529411764705882</v>
      </c>
      <c r="L1033" s="180">
        <v>0.19230769230769232</v>
      </c>
      <c r="M1033" s="182">
        <v>0.20289855072463769</v>
      </c>
      <c r="N1033" s="181">
        <v>0.33333333333333331</v>
      </c>
      <c r="O1033" s="180">
        <v>0.15277777777777779</v>
      </c>
      <c r="P1033" s="182">
        <v>0.19354838709677419</v>
      </c>
      <c r="Q1033" s="181">
        <v>0.31</v>
      </c>
      <c r="R1033" s="180">
        <v>0.1</v>
      </c>
      <c r="S1033" s="182">
        <v>0.16</v>
      </c>
      <c r="T1033" s="181">
        <v>0.31578947368421051</v>
      </c>
      <c r="U1033" s="180">
        <v>0.23076923076923078</v>
      </c>
      <c r="V1033" s="182">
        <v>0.26213592233009708</v>
      </c>
      <c r="W1033" s="181">
        <v>0.28947368421052633</v>
      </c>
      <c r="X1033" s="180">
        <v>0.125</v>
      </c>
      <c r="Y1033" s="182">
        <v>0.19148936170212766</v>
      </c>
      <c r="Z1033" s="181">
        <v>0.33333333333333331</v>
      </c>
      <c r="AA1033" s="180">
        <v>0.14893617021276595</v>
      </c>
      <c r="AB1033" s="182">
        <v>0.21621621621621623</v>
      </c>
    </row>
    <row r="1034" spans="1:32" s="41" customFormat="1" ht="29.25" customHeight="1" x14ac:dyDescent="0.2">
      <c r="A1034" s="99" t="s">
        <v>135</v>
      </c>
      <c r="B1034" s="31">
        <f>COUNTIFS(DATA!$AK$3:$AK$7183,2,DATA!$D$3:$D$7183,260)</f>
        <v>8</v>
      </c>
      <c r="C1034" s="35">
        <f>IF(B1037=0,0,+B1034/B1037)</f>
        <v>0.33333333333333331</v>
      </c>
      <c r="D1034" s="42">
        <f>COUNTIFS(DATA!$AK$3:$AK$7183,2,DATA!$D$3:$D$7183,280)</f>
        <v>16</v>
      </c>
      <c r="E1034" s="35">
        <f>+D1034/D1037</f>
        <v>0.41025641025641024</v>
      </c>
      <c r="F1034" s="42">
        <f t="shared" ref="F1034:F1036" si="117">+D1034+B1034</f>
        <v>24</v>
      </c>
      <c r="G1034" s="35">
        <f>+F1034/F1037</f>
        <v>0.38095238095238093</v>
      </c>
      <c r="H1034" s="181">
        <v>0.44444444444444442</v>
      </c>
      <c r="I1034" s="180">
        <v>0.58974358974358976</v>
      </c>
      <c r="J1034" s="182">
        <v>0.54385964912280704</v>
      </c>
      <c r="K1034" s="181">
        <v>0.47058823529411764</v>
      </c>
      <c r="L1034" s="180">
        <v>0.48076923076923078</v>
      </c>
      <c r="M1034" s="182">
        <v>0.47826086956521741</v>
      </c>
      <c r="N1034" s="181">
        <v>0.38095238095238093</v>
      </c>
      <c r="O1034" s="180">
        <v>0.55555555555555558</v>
      </c>
      <c r="P1034" s="182">
        <v>0.5161290322580645</v>
      </c>
      <c r="Q1034" s="181">
        <v>0.55000000000000004</v>
      </c>
      <c r="R1034" s="180">
        <v>0.57999999999999996</v>
      </c>
      <c r="S1034" s="182">
        <v>0.56999999999999995</v>
      </c>
      <c r="T1034" s="181">
        <v>0.36842105263157893</v>
      </c>
      <c r="U1034" s="180">
        <v>0.52307692307692311</v>
      </c>
      <c r="V1034" s="182">
        <v>0.46601941747572817</v>
      </c>
      <c r="W1034" s="181">
        <v>0.42105263157894735</v>
      </c>
      <c r="X1034" s="180">
        <v>0.5714285714285714</v>
      </c>
      <c r="Y1034" s="182">
        <v>0.51063829787234039</v>
      </c>
      <c r="Z1034" s="181">
        <v>0.48148148148148145</v>
      </c>
      <c r="AA1034" s="180">
        <v>0.51063829787234039</v>
      </c>
      <c r="AB1034" s="182">
        <v>0.5</v>
      </c>
    </row>
    <row r="1035" spans="1:32" s="41" customFormat="1" ht="28.5" customHeight="1" x14ac:dyDescent="0.2">
      <c r="A1035" s="92" t="s">
        <v>94</v>
      </c>
      <c r="B1035" s="31">
        <f>COUNTIFS(DATA!$AK$3:$AK$7183,"3",DATA!$D$3:$D$7183,260)</f>
        <v>5</v>
      </c>
      <c r="C1035" s="35">
        <f>IF(B1037=0,0,+B1035/B1037)</f>
        <v>0.20833333333333334</v>
      </c>
      <c r="D1035" s="42">
        <f>COUNTIFS(DATA!$AK$3:$AK$7183,"3",DATA!$D$3:$D$7183,280)</f>
        <v>16</v>
      </c>
      <c r="E1035" s="35">
        <f>+D1035/D1037</f>
        <v>0.41025641025641024</v>
      </c>
      <c r="F1035" s="42">
        <f t="shared" si="117"/>
        <v>21</v>
      </c>
      <c r="G1035" s="35">
        <f>+F1035/F1037</f>
        <v>0.33333333333333331</v>
      </c>
      <c r="H1035" s="181">
        <v>0.16666666666666666</v>
      </c>
      <c r="I1035" s="180">
        <v>0.30769230769230771</v>
      </c>
      <c r="J1035" s="182">
        <v>0.26315789473684209</v>
      </c>
      <c r="K1035" s="181">
        <v>0.29411764705882354</v>
      </c>
      <c r="L1035" s="180">
        <v>0.32692307692307693</v>
      </c>
      <c r="M1035" s="182">
        <v>0.3188405797101449</v>
      </c>
      <c r="N1035" s="181">
        <v>0.14285714285714285</v>
      </c>
      <c r="O1035" s="180">
        <v>0.2361111111111111</v>
      </c>
      <c r="P1035" s="182">
        <v>0.21505376344086022</v>
      </c>
      <c r="Q1035" s="181">
        <v>0.14000000000000001</v>
      </c>
      <c r="R1035" s="180">
        <v>0.26</v>
      </c>
      <c r="S1035" s="182">
        <v>0.22</v>
      </c>
      <c r="T1035" s="181">
        <v>0.26315789473684209</v>
      </c>
      <c r="U1035" s="180">
        <v>0.2</v>
      </c>
      <c r="V1035" s="182">
        <v>0.22330097087378642</v>
      </c>
      <c r="W1035" s="181">
        <v>0.26315789473684209</v>
      </c>
      <c r="X1035" s="180">
        <v>0.23214285714285715</v>
      </c>
      <c r="Y1035" s="182">
        <v>0.24468085106382978</v>
      </c>
      <c r="Z1035" s="181">
        <v>0.18518518518518517</v>
      </c>
      <c r="AA1035" s="180">
        <v>0.2978723404255319</v>
      </c>
      <c r="AB1035" s="182">
        <v>0.25675675675675674</v>
      </c>
    </row>
    <row r="1036" spans="1:32" s="41" customFormat="1" ht="15" thickBot="1" x14ac:dyDescent="0.25">
      <c r="A1036" s="93" t="s">
        <v>39</v>
      </c>
      <c r="B1036" s="31">
        <f>COUNTIFS(DATA!$AK$3:$AK$7183,"4",DATA!$D$3:$D$7183,260)</f>
        <v>0</v>
      </c>
      <c r="C1036" s="35">
        <f>IF(B1037=0,0,+B1036/B1037)</f>
        <v>0</v>
      </c>
      <c r="D1036" s="42">
        <f>COUNTIFS(DATA!$AK$3:$AK$7183,"4",DATA!$D$3:$D$7183,280)</f>
        <v>3</v>
      </c>
      <c r="E1036" s="35">
        <f>+D1036/D1037</f>
        <v>7.6923076923076927E-2</v>
      </c>
      <c r="F1036" s="42">
        <f t="shared" si="117"/>
        <v>3</v>
      </c>
      <c r="G1036" s="35">
        <f>+F1036/F1037</f>
        <v>4.7619047619047616E-2</v>
      </c>
      <c r="H1036" s="181">
        <v>5.5555555555555552E-2</v>
      </c>
      <c r="I1036" s="180">
        <v>7.6923076923076927E-2</v>
      </c>
      <c r="J1036" s="182">
        <v>7.0175438596491224E-2</v>
      </c>
      <c r="K1036" s="181">
        <v>0</v>
      </c>
      <c r="L1036" s="180">
        <v>0</v>
      </c>
      <c r="M1036" s="182">
        <v>0</v>
      </c>
      <c r="N1036" s="181">
        <v>0.14285714285714285</v>
      </c>
      <c r="O1036" s="180">
        <v>5.5555555555555552E-2</v>
      </c>
      <c r="P1036" s="182">
        <v>7.5268817204301078E-2</v>
      </c>
      <c r="Q1036" s="181">
        <v>0</v>
      </c>
      <c r="R1036" s="180">
        <v>0.06</v>
      </c>
      <c r="S1036" s="182">
        <v>0.04</v>
      </c>
      <c r="T1036" s="181">
        <v>5.2631578947368418E-2</v>
      </c>
      <c r="U1036" s="180">
        <v>4.6153846153846156E-2</v>
      </c>
      <c r="V1036" s="182">
        <v>4.8543689320388349E-2</v>
      </c>
      <c r="W1036" s="181">
        <v>2.6315789473684209E-2</v>
      </c>
      <c r="X1036" s="180">
        <v>7.1428571428571425E-2</v>
      </c>
      <c r="Y1036" s="182">
        <v>5.3191489361702128E-2</v>
      </c>
      <c r="Z1036" s="181">
        <v>0</v>
      </c>
      <c r="AA1036" s="180">
        <v>4.2553191489361701E-2</v>
      </c>
      <c r="AB1036" s="182">
        <v>2.7027027027027029E-2</v>
      </c>
      <c r="AC1036" s="74"/>
      <c r="AF1036" s="162"/>
    </row>
    <row r="1037" spans="1:32" s="41" customFormat="1" ht="15.75" thickBot="1" x14ac:dyDescent="0.3">
      <c r="A1037" s="111" t="s">
        <v>16</v>
      </c>
      <c r="B1037" s="101">
        <f>SUM(B1033:B1036)</f>
        <v>24</v>
      </c>
      <c r="C1037" s="114">
        <f>IF(B1037=0,0,+B1037/B1037)</f>
        <v>1</v>
      </c>
      <c r="D1037" s="101">
        <f>SUM(D1033:D1036)</f>
        <v>39</v>
      </c>
      <c r="E1037" s="114">
        <f>+D1037/D1037</f>
        <v>1</v>
      </c>
      <c r="F1037" s="101">
        <f>SUM(F1033:F1036)</f>
        <v>63</v>
      </c>
      <c r="G1037" s="114">
        <f>+F1037/F1037</f>
        <v>1</v>
      </c>
      <c r="H1037" s="183">
        <v>1</v>
      </c>
      <c r="I1037" s="184">
        <v>1</v>
      </c>
      <c r="J1037" s="185">
        <v>1</v>
      </c>
      <c r="K1037" s="183">
        <v>1</v>
      </c>
      <c r="L1037" s="184">
        <v>1</v>
      </c>
      <c r="M1037" s="185">
        <v>1</v>
      </c>
      <c r="N1037" s="183">
        <v>1</v>
      </c>
      <c r="O1037" s="184">
        <v>1</v>
      </c>
      <c r="P1037" s="185">
        <v>1</v>
      </c>
      <c r="Q1037" s="183">
        <v>1</v>
      </c>
      <c r="R1037" s="184">
        <v>1</v>
      </c>
      <c r="S1037" s="185">
        <v>1</v>
      </c>
      <c r="T1037" s="183">
        <v>1</v>
      </c>
      <c r="U1037" s="184">
        <v>1</v>
      </c>
      <c r="V1037" s="185">
        <v>1</v>
      </c>
      <c r="W1037" s="183">
        <v>1</v>
      </c>
      <c r="X1037" s="184">
        <v>1</v>
      </c>
      <c r="Y1037" s="185">
        <v>1</v>
      </c>
      <c r="Z1037" s="183">
        <v>1</v>
      </c>
      <c r="AA1037" s="184">
        <v>1</v>
      </c>
      <c r="AB1037" s="185">
        <v>1</v>
      </c>
      <c r="AF1037" s="162"/>
    </row>
    <row r="1038" spans="1:32" s="41" customFormat="1" x14ac:dyDescent="0.2">
      <c r="N1038" s="162"/>
    </row>
    <row r="1039" spans="1:32" s="41" customFormat="1" x14ac:dyDescent="0.2">
      <c r="N1039" s="162"/>
    </row>
    <row r="1040" spans="1:32" s="41" customFormat="1" x14ac:dyDescent="0.2">
      <c r="N1040" s="162"/>
    </row>
    <row r="1041" spans="11:18" s="41" customFormat="1" ht="14.25" customHeight="1" x14ac:dyDescent="0.2">
      <c r="K1041" s="218" t="s">
        <v>7176</v>
      </c>
      <c r="L1041" s="218"/>
      <c r="M1041" s="218"/>
      <c r="N1041" s="218"/>
      <c r="O1041" s="218"/>
      <c r="P1041" s="218"/>
      <c r="Q1041" s="218"/>
      <c r="R1041" s="218"/>
    </row>
    <row r="1042" spans="11:18" s="41" customFormat="1" x14ac:dyDescent="0.2">
      <c r="K1042" s="218"/>
      <c r="L1042" s="218"/>
      <c r="M1042" s="218"/>
      <c r="N1042" s="218"/>
      <c r="O1042" s="218"/>
      <c r="P1042" s="218"/>
      <c r="Q1042" s="218"/>
      <c r="R1042" s="218"/>
    </row>
    <row r="1043" spans="11:18" s="41" customFormat="1" ht="14.25" customHeight="1" x14ac:dyDescent="0.2">
      <c r="K1043" s="219" t="s">
        <v>7174</v>
      </c>
      <c r="L1043" s="219"/>
      <c r="M1043" s="219"/>
      <c r="N1043" s="219"/>
      <c r="O1043" s="219"/>
      <c r="P1043" s="219"/>
      <c r="Q1043" s="219"/>
      <c r="R1043" s="219"/>
    </row>
    <row r="1044" spans="11:18" s="41" customFormat="1" x14ac:dyDescent="0.2">
      <c r="K1044" s="219"/>
      <c r="L1044" s="219"/>
      <c r="M1044" s="219"/>
      <c r="N1044" s="219"/>
      <c r="O1044" s="219"/>
      <c r="P1044" s="219"/>
      <c r="Q1044" s="219"/>
      <c r="R1044" s="219"/>
    </row>
    <row r="1045" spans="11:18" s="41" customFormat="1" ht="14.25" customHeight="1" x14ac:dyDescent="0.2">
      <c r="K1045" s="215" t="s">
        <v>7175</v>
      </c>
      <c r="L1045" s="215"/>
      <c r="M1045" s="215"/>
      <c r="N1045" s="215"/>
      <c r="O1045" s="215"/>
      <c r="P1045" s="215"/>
      <c r="Q1045" s="215"/>
      <c r="R1045" s="215"/>
    </row>
    <row r="1046" spans="11:18" s="41" customFormat="1" x14ac:dyDescent="0.2">
      <c r="K1046" s="215"/>
      <c r="L1046" s="215"/>
      <c r="M1046" s="215"/>
      <c r="N1046" s="215"/>
      <c r="O1046" s="215"/>
      <c r="P1046" s="215"/>
      <c r="Q1046" s="215"/>
      <c r="R1046" s="215"/>
    </row>
    <row r="1047" spans="11:18" s="41" customFormat="1" x14ac:dyDescent="0.2">
      <c r="N1047" s="162"/>
    </row>
    <row r="1048" spans="11:18" s="41" customFormat="1" x14ac:dyDescent="0.2">
      <c r="N1048" s="162"/>
    </row>
    <row r="1049" spans="11:18" s="41" customFormat="1" x14ac:dyDescent="0.2">
      <c r="N1049" s="162"/>
    </row>
    <row r="1050" spans="11:18" s="41" customFormat="1" x14ac:dyDescent="0.2">
      <c r="N1050" s="162"/>
    </row>
    <row r="1051" spans="11:18" s="41" customFormat="1" x14ac:dyDescent="0.2">
      <c r="N1051" s="162"/>
    </row>
    <row r="1052" spans="11:18" s="41" customFormat="1" x14ac:dyDescent="0.2">
      <c r="N1052" s="162"/>
    </row>
    <row r="1053" spans="11:18" s="41" customFormat="1" x14ac:dyDescent="0.2">
      <c r="N1053" s="162"/>
    </row>
    <row r="1054" spans="11:18" s="41" customFormat="1" x14ac:dyDescent="0.2">
      <c r="N1054" s="162"/>
    </row>
    <row r="1055" spans="11:18" s="41" customFormat="1" x14ac:dyDescent="0.2">
      <c r="N1055" s="162"/>
    </row>
    <row r="1056" spans="11:18" s="41" customFormat="1" x14ac:dyDescent="0.2">
      <c r="N1056" s="162"/>
    </row>
    <row r="1057" spans="1:32" s="41" customFormat="1" x14ac:dyDescent="0.2">
      <c r="N1057" s="162"/>
    </row>
    <row r="1058" spans="1:32" s="41" customFormat="1" x14ac:dyDescent="0.2">
      <c r="N1058" s="162"/>
    </row>
    <row r="1059" spans="1:32" s="41" customFormat="1" x14ac:dyDescent="0.2">
      <c r="N1059" s="162"/>
    </row>
    <row r="1060" spans="1:32" s="41" customFormat="1" x14ac:dyDescent="0.2">
      <c r="N1060" s="162"/>
    </row>
    <row r="1061" spans="1:32" s="41" customFormat="1" x14ac:dyDescent="0.2">
      <c r="N1061" s="162"/>
    </row>
    <row r="1062" spans="1:32" s="41" customFormat="1" x14ac:dyDescent="0.2">
      <c r="N1062" s="162"/>
    </row>
    <row r="1063" spans="1:32" s="41" customFormat="1" x14ac:dyDescent="0.2">
      <c r="N1063" s="162"/>
    </row>
    <row r="1064" spans="1:32" s="41" customFormat="1" ht="15" thickBot="1" x14ac:dyDescent="0.25">
      <c r="N1064" s="162"/>
    </row>
    <row r="1065" spans="1:32" s="41" customFormat="1" ht="42" customHeight="1" thickBot="1" x14ac:dyDescent="0.25">
      <c r="A1065" s="240" t="s">
        <v>161</v>
      </c>
      <c r="B1065" s="241"/>
      <c r="C1065" s="241"/>
      <c r="D1065" s="241"/>
      <c r="E1065" s="241"/>
      <c r="F1065" s="241"/>
      <c r="G1065" s="242"/>
      <c r="H1065" s="74"/>
      <c r="I1065" s="74"/>
      <c r="J1065" s="74"/>
      <c r="K1065" s="74"/>
      <c r="N1065" s="162"/>
    </row>
    <row r="1066" spans="1:32" s="41" customFormat="1" ht="15.75" thickBot="1" x14ac:dyDescent="0.3">
      <c r="A1066" s="28"/>
      <c r="B1066" s="234" t="str">
        <f>+B73</f>
        <v>Successful</v>
      </c>
      <c r="C1066" s="235"/>
      <c r="D1066" s="236" t="str">
        <f>+D73</f>
        <v>Unsuccessful</v>
      </c>
      <c r="E1066" s="237"/>
      <c r="F1066" s="238" t="s">
        <v>16</v>
      </c>
      <c r="G1066" s="239"/>
      <c r="H1066" s="206">
        <v>2021</v>
      </c>
      <c r="I1066" s="207"/>
      <c r="J1066" s="208"/>
      <c r="K1066" s="206">
        <v>2020</v>
      </c>
      <c r="L1066" s="207"/>
      <c r="M1066" s="208"/>
      <c r="N1066" s="206">
        <f>+N73</f>
        <v>2019</v>
      </c>
      <c r="O1066" s="207"/>
      <c r="P1066" s="208"/>
      <c r="Q1066" s="206">
        <f>+Q73</f>
        <v>2018</v>
      </c>
      <c r="R1066" s="207"/>
      <c r="S1066" s="208"/>
      <c r="T1066" s="206">
        <f>+T73</f>
        <v>2017</v>
      </c>
      <c r="U1066" s="207"/>
      <c r="V1066" s="208"/>
      <c r="W1066" s="209">
        <f>+W73</f>
        <v>2016</v>
      </c>
      <c r="X1066" s="210"/>
      <c r="Y1066" s="211"/>
      <c r="Z1066" s="209">
        <f>+Z73</f>
        <v>2015</v>
      </c>
      <c r="AA1066" s="210"/>
      <c r="AB1066" s="211"/>
      <c r="AC1066" s="165"/>
      <c r="AF1066" s="162"/>
    </row>
    <row r="1067" spans="1:32" s="41" customFormat="1" ht="29.25" customHeight="1" thickBot="1" x14ac:dyDescent="0.25">
      <c r="A1067" s="28"/>
      <c r="B1067" s="29" t="s">
        <v>37</v>
      </c>
      <c r="C1067" s="30" t="s">
        <v>38</v>
      </c>
      <c r="D1067" s="29" t="s">
        <v>37</v>
      </c>
      <c r="E1067" s="30" t="s">
        <v>38</v>
      </c>
      <c r="F1067" s="29" t="s">
        <v>37</v>
      </c>
      <c r="G1067" s="30" t="s">
        <v>38</v>
      </c>
      <c r="H1067" s="186" t="s">
        <v>132</v>
      </c>
      <c r="I1067" s="187" t="s">
        <v>133</v>
      </c>
      <c r="J1067" s="44" t="s">
        <v>16</v>
      </c>
      <c r="K1067" s="186" t="s">
        <v>132</v>
      </c>
      <c r="L1067" s="187" t="s">
        <v>133</v>
      </c>
      <c r="M1067" s="44" t="s">
        <v>16</v>
      </c>
      <c r="N1067" s="186" t="s">
        <v>132</v>
      </c>
      <c r="O1067" s="187" t="s">
        <v>133</v>
      </c>
      <c r="P1067" s="44" t="s">
        <v>16</v>
      </c>
      <c r="Q1067" s="186" t="s">
        <v>132</v>
      </c>
      <c r="R1067" s="187" t="s">
        <v>133</v>
      </c>
      <c r="S1067" s="44" t="s">
        <v>16</v>
      </c>
      <c r="T1067" s="186" t="s">
        <v>132</v>
      </c>
      <c r="U1067" s="187" t="s">
        <v>133</v>
      </c>
      <c r="V1067" s="44" t="s">
        <v>16</v>
      </c>
      <c r="W1067" s="186" t="s">
        <v>132</v>
      </c>
      <c r="X1067" s="187" t="s">
        <v>133</v>
      </c>
      <c r="Y1067" s="44" t="s">
        <v>16</v>
      </c>
      <c r="Z1067" s="186" t="s">
        <v>132</v>
      </c>
      <c r="AA1067" s="187" t="s">
        <v>133</v>
      </c>
      <c r="AB1067" s="44" t="s">
        <v>16</v>
      </c>
    </row>
    <row r="1068" spans="1:32" s="41" customFormat="1" x14ac:dyDescent="0.2">
      <c r="A1068" s="98" t="s">
        <v>134</v>
      </c>
      <c r="B1068" s="31">
        <f>COUNTIFS(DATA!$AL$3:$AL$7183,1,DATA!$D$3:$D$7183,260)</f>
        <v>5</v>
      </c>
      <c r="C1068" s="35">
        <f>IF(B1072=0,0,+B1068/B1072)</f>
        <v>0.20833333333333334</v>
      </c>
      <c r="D1068" s="31">
        <f>COUNTIFS(DATA!$AL$3:$AL$7183,1,DATA!$D$3:$D$7183,280)</f>
        <v>2</v>
      </c>
      <c r="E1068" s="35">
        <f>+D1068/D1072</f>
        <v>5.128205128205128E-2</v>
      </c>
      <c r="F1068" s="31">
        <f>+D1068+B1068</f>
        <v>7</v>
      </c>
      <c r="G1068" s="35">
        <f>+F1068/F1072</f>
        <v>0.1111111111111111</v>
      </c>
      <c r="H1068" s="181">
        <v>0.16666666666666666</v>
      </c>
      <c r="I1068" s="180">
        <v>2.564102564102564E-2</v>
      </c>
      <c r="J1068" s="182">
        <v>7.0175438596491224E-2</v>
      </c>
      <c r="K1068" s="181">
        <v>5.8823529411764705E-2</v>
      </c>
      <c r="L1068" s="180">
        <v>0</v>
      </c>
      <c r="M1068" s="182">
        <v>1.4492753623188406E-2</v>
      </c>
      <c r="N1068" s="181">
        <v>0</v>
      </c>
      <c r="O1068" s="180">
        <v>6.9444444444444448E-2</v>
      </c>
      <c r="P1068" s="182">
        <v>5.3763440860215055E-2</v>
      </c>
      <c r="Q1068" s="181">
        <v>0.03</v>
      </c>
      <c r="R1068" s="180">
        <v>0.13</v>
      </c>
      <c r="S1068" s="182">
        <v>0.1</v>
      </c>
      <c r="T1068" s="181">
        <v>0.13157894736842105</v>
      </c>
      <c r="U1068" s="180">
        <v>6.1538461538461542E-2</v>
      </c>
      <c r="V1068" s="182">
        <v>8.7378640776699032E-2</v>
      </c>
      <c r="W1068" s="181">
        <v>0.13157894736842105</v>
      </c>
      <c r="X1068" s="180">
        <v>0.16071428571428573</v>
      </c>
      <c r="Y1068" s="182">
        <v>0.14893617021276595</v>
      </c>
      <c r="Z1068" s="181">
        <v>0.33333333333333331</v>
      </c>
      <c r="AA1068" s="180">
        <v>4.2553191489361701E-2</v>
      </c>
      <c r="AB1068" s="182">
        <v>0.14864864864864866</v>
      </c>
    </row>
    <row r="1069" spans="1:32" s="41" customFormat="1" ht="28.5" customHeight="1" x14ac:dyDescent="0.2">
      <c r="A1069" s="99" t="s">
        <v>135</v>
      </c>
      <c r="B1069" s="31">
        <f>COUNTIFS(DATA!$AL$3:$AL$7183,2,DATA!$D$3:$D$7183,260)</f>
        <v>15</v>
      </c>
      <c r="C1069" s="35">
        <f>IF(B1072=0,0,+B1069/B1072)</f>
        <v>0.625</v>
      </c>
      <c r="D1069" s="42">
        <f>COUNTIFS(DATA!$AL$3:$AL$7183,2,DATA!$D$3:$D$7183,280)</f>
        <v>26</v>
      </c>
      <c r="E1069" s="35">
        <f>+D1069/D1072</f>
        <v>0.66666666666666663</v>
      </c>
      <c r="F1069" s="42">
        <f t="shared" ref="F1069:F1071" si="118">+D1069+B1069</f>
        <v>41</v>
      </c>
      <c r="G1069" s="35">
        <f>+F1069/F1072</f>
        <v>0.65079365079365081</v>
      </c>
      <c r="H1069" s="181">
        <v>0.55555555555555558</v>
      </c>
      <c r="I1069" s="180">
        <v>0.5641025641025641</v>
      </c>
      <c r="J1069" s="182">
        <v>0.56140350877192979</v>
      </c>
      <c r="K1069" s="181">
        <v>0.6470588235294118</v>
      </c>
      <c r="L1069" s="180">
        <v>0.61538461538461542</v>
      </c>
      <c r="M1069" s="182">
        <v>0.62318840579710144</v>
      </c>
      <c r="N1069" s="181">
        <v>0.76190476190476186</v>
      </c>
      <c r="O1069" s="180">
        <v>0.61111111111111116</v>
      </c>
      <c r="P1069" s="182">
        <v>0.64516129032258063</v>
      </c>
      <c r="Q1069" s="181">
        <v>0.79</v>
      </c>
      <c r="R1069" s="180">
        <v>0.57999999999999996</v>
      </c>
      <c r="S1069" s="182">
        <v>0.65</v>
      </c>
      <c r="T1069" s="181">
        <v>0.52631578947368418</v>
      </c>
      <c r="U1069" s="180">
        <v>0.67692307692307696</v>
      </c>
      <c r="V1069" s="182">
        <v>0.62135922330097082</v>
      </c>
      <c r="W1069" s="181">
        <v>0.5</v>
      </c>
      <c r="X1069" s="180">
        <v>0.6071428571428571</v>
      </c>
      <c r="Y1069" s="182">
        <v>0.56382978723404253</v>
      </c>
      <c r="Z1069" s="181">
        <v>0.37037037037037035</v>
      </c>
      <c r="AA1069" s="180">
        <v>0.53191489361702127</v>
      </c>
      <c r="AB1069" s="182">
        <v>0.47297297297297297</v>
      </c>
    </row>
    <row r="1070" spans="1:32" s="41" customFormat="1" ht="26.25" customHeight="1" x14ac:dyDescent="0.2">
      <c r="A1070" s="92" t="s">
        <v>94</v>
      </c>
      <c r="B1070" s="31">
        <f>COUNTIFS(DATA!$AL$3:$AL$7183,"3",DATA!$D$3:$D$7183,260)</f>
        <v>4</v>
      </c>
      <c r="C1070" s="35">
        <f>IF(B1072=0,0,+B1070/B1072)</f>
        <v>0.16666666666666666</v>
      </c>
      <c r="D1070" s="42">
        <f>COUNTIFS(DATA!$AL$3:$AL$7183,"3",DATA!$D$3:$D$7183,280)</f>
        <v>9</v>
      </c>
      <c r="E1070" s="35">
        <f>+D1070/D1072</f>
        <v>0.23076923076923078</v>
      </c>
      <c r="F1070" s="42">
        <f t="shared" si="118"/>
        <v>13</v>
      </c>
      <c r="G1070" s="35">
        <f>+F1070/F1072</f>
        <v>0.20634920634920634</v>
      </c>
      <c r="H1070" s="181">
        <v>0.16666666666666666</v>
      </c>
      <c r="I1070" s="180">
        <v>0.30769230769230771</v>
      </c>
      <c r="J1070" s="182">
        <v>0.26315789473684209</v>
      </c>
      <c r="K1070" s="181">
        <v>0.29411764705882354</v>
      </c>
      <c r="L1070" s="180">
        <v>0.38461538461538464</v>
      </c>
      <c r="M1070" s="182">
        <v>0.36231884057971014</v>
      </c>
      <c r="N1070" s="181">
        <v>9.5238095238095233E-2</v>
      </c>
      <c r="O1070" s="180">
        <v>0.25</v>
      </c>
      <c r="P1070" s="182">
        <v>0.21505376344086022</v>
      </c>
      <c r="Q1070" s="181">
        <v>0.17</v>
      </c>
      <c r="R1070" s="180">
        <v>0.23</v>
      </c>
      <c r="S1070" s="182">
        <v>0.21</v>
      </c>
      <c r="T1070" s="181">
        <v>0.31578947368421051</v>
      </c>
      <c r="U1070" s="180">
        <v>0.2153846153846154</v>
      </c>
      <c r="V1070" s="182">
        <v>0.25242718446601942</v>
      </c>
      <c r="W1070" s="181">
        <v>0.31578947368421051</v>
      </c>
      <c r="X1070" s="180">
        <v>0.16071428571428573</v>
      </c>
      <c r="Y1070" s="182">
        <v>0.22340425531914893</v>
      </c>
      <c r="Z1070" s="181">
        <v>0.22222222222222221</v>
      </c>
      <c r="AA1070" s="180">
        <v>0.36170212765957449</v>
      </c>
      <c r="AB1070" s="182">
        <v>0.3108108108108108</v>
      </c>
    </row>
    <row r="1071" spans="1:32" s="41" customFormat="1" ht="15" thickBot="1" x14ac:dyDescent="0.25">
      <c r="A1071" s="93" t="s">
        <v>39</v>
      </c>
      <c r="B1071" s="31">
        <f>COUNTIFS(DATA!$AL$3:$AL$7183,"4",DATA!$D$3:$D$7183,260)</f>
        <v>0</v>
      </c>
      <c r="C1071" s="35">
        <f>IF(B1072=0,0,+B1071/B1072)</f>
        <v>0</v>
      </c>
      <c r="D1071" s="42">
        <f>COUNTIFS(DATA!$AL$3:$AL$7183,"4",DATA!$D$3:$D$7183,280)</f>
        <v>2</v>
      </c>
      <c r="E1071" s="35">
        <f>+D1071/D1072</f>
        <v>5.128205128205128E-2</v>
      </c>
      <c r="F1071" s="42">
        <f t="shared" si="118"/>
        <v>2</v>
      </c>
      <c r="G1071" s="35">
        <f>+F1071/F1072</f>
        <v>3.1746031746031744E-2</v>
      </c>
      <c r="H1071" s="181">
        <v>0.1111111111111111</v>
      </c>
      <c r="I1071" s="180">
        <v>0.10256410256410256</v>
      </c>
      <c r="J1071" s="182">
        <v>0.10526315789473684</v>
      </c>
      <c r="K1071" s="181">
        <v>0</v>
      </c>
      <c r="L1071" s="180">
        <v>0</v>
      </c>
      <c r="M1071" s="182">
        <v>0</v>
      </c>
      <c r="N1071" s="181">
        <v>0.14285714285714285</v>
      </c>
      <c r="O1071" s="180">
        <v>6.9444444444444448E-2</v>
      </c>
      <c r="P1071" s="182">
        <v>8.6021505376344093E-2</v>
      </c>
      <c r="Q1071" s="181">
        <v>0</v>
      </c>
      <c r="R1071" s="180">
        <v>0.06</v>
      </c>
      <c r="S1071" s="182">
        <v>0.04</v>
      </c>
      <c r="T1071" s="181">
        <v>2.6315789473684209E-2</v>
      </c>
      <c r="U1071" s="180">
        <v>4.6153846153846156E-2</v>
      </c>
      <c r="V1071" s="182">
        <v>3.8834951456310676E-2</v>
      </c>
      <c r="W1071" s="181">
        <v>5.2631578947368418E-2</v>
      </c>
      <c r="X1071" s="180">
        <v>7.1428571428571425E-2</v>
      </c>
      <c r="Y1071" s="182">
        <v>6.3829787234042548E-2</v>
      </c>
      <c r="Z1071" s="181">
        <v>7.407407407407407E-2</v>
      </c>
      <c r="AA1071" s="180">
        <v>6.3829787234042548E-2</v>
      </c>
      <c r="AB1071" s="182">
        <v>6.7567567567567571E-2</v>
      </c>
      <c r="AC1071" s="74"/>
      <c r="AF1071" s="162"/>
    </row>
    <row r="1072" spans="1:32" s="41" customFormat="1" ht="15.75" thickBot="1" x14ac:dyDescent="0.3">
      <c r="A1072" s="111" t="s">
        <v>16</v>
      </c>
      <c r="B1072" s="101">
        <f>SUM(B1068:B1071)</f>
        <v>24</v>
      </c>
      <c r="C1072" s="114">
        <f>IF(B1072=0,0,+B1072/B1072)</f>
        <v>1</v>
      </c>
      <c r="D1072" s="101">
        <f>SUM(D1068:D1071)</f>
        <v>39</v>
      </c>
      <c r="E1072" s="114">
        <f>+D1072/D1072</f>
        <v>1</v>
      </c>
      <c r="F1072" s="101">
        <f>SUM(F1068:F1071)</f>
        <v>63</v>
      </c>
      <c r="G1072" s="114">
        <f>+F1072/F1072</f>
        <v>1</v>
      </c>
      <c r="H1072" s="183">
        <v>1</v>
      </c>
      <c r="I1072" s="184">
        <v>1</v>
      </c>
      <c r="J1072" s="185">
        <v>1</v>
      </c>
      <c r="K1072" s="183">
        <v>1</v>
      </c>
      <c r="L1072" s="184">
        <v>1</v>
      </c>
      <c r="M1072" s="185">
        <v>1</v>
      </c>
      <c r="N1072" s="183">
        <v>1</v>
      </c>
      <c r="O1072" s="184">
        <v>1</v>
      </c>
      <c r="P1072" s="185">
        <v>1</v>
      </c>
      <c r="Q1072" s="183">
        <v>1</v>
      </c>
      <c r="R1072" s="184">
        <v>1</v>
      </c>
      <c r="S1072" s="185">
        <v>1</v>
      </c>
      <c r="T1072" s="183">
        <v>1</v>
      </c>
      <c r="U1072" s="184">
        <v>1</v>
      </c>
      <c r="V1072" s="185">
        <v>1</v>
      </c>
      <c r="W1072" s="183">
        <v>1</v>
      </c>
      <c r="X1072" s="184">
        <v>1</v>
      </c>
      <c r="Y1072" s="185">
        <v>1</v>
      </c>
      <c r="Z1072" s="183">
        <v>1</v>
      </c>
      <c r="AA1072" s="184">
        <v>1</v>
      </c>
      <c r="AB1072" s="185">
        <v>1</v>
      </c>
      <c r="AF1072" s="162"/>
    </row>
    <row r="1073" spans="11:18" s="41" customFormat="1" x14ac:dyDescent="0.2">
      <c r="N1073" s="162"/>
    </row>
    <row r="1074" spans="11:18" s="41" customFormat="1" x14ac:dyDescent="0.2">
      <c r="N1074" s="162"/>
    </row>
    <row r="1075" spans="11:18" s="41" customFormat="1" ht="14.25" customHeight="1" x14ac:dyDescent="0.2">
      <c r="K1075" s="218" t="s">
        <v>3657</v>
      </c>
      <c r="L1075" s="218"/>
      <c r="M1075" s="218"/>
      <c r="N1075" s="218"/>
      <c r="O1075" s="218"/>
      <c r="P1075" s="218"/>
      <c r="Q1075" s="218"/>
      <c r="R1075" s="218"/>
    </row>
    <row r="1076" spans="11:18" s="41" customFormat="1" x14ac:dyDescent="0.2">
      <c r="K1076" s="218"/>
      <c r="L1076" s="218"/>
      <c r="M1076" s="218"/>
      <c r="N1076" s="218"/>
      <c r="O1076" s="218"/>
      <c r="P1076" s="218"/>
      <c r="Q1076" s="218"/>
      <c r="R1076" s="218"/>
    </row>
    <row r="1077" spans="11:18" s="41" customFormat="1" x14ac:dyDescent="0.2">
      <c r="K1077" s="221" t="s">
        <v>7177</v>
      </c>
      <c r="L1077" s="219"/>
      <c r="M1077" s="219"/>
      <c r="N1077" s="219"/>
      <c r="O1077" s="219"/>
      <c r="P1077" s="219"/>
      <c r="Q1077" s="219"/>
      <c r="R1077" s="219"/>
    </row>
    <row r="1078" spans="11:18" s="41" customFormat="1" x14ac:dyDescent="0.2">
      <c r="K1078" s="214" t="s">
        <v>7178</v>
      </c>
      <c r="L1078" s="215"/>
      <c r="M1078" s="215"/>
      <c r="N1078" s="215"/>
      <c r="O1078" s="215"/>
      <c r="P1078" s="215"/>
      <c r="Q1078" s="215"/>
      <c r="R1078" s="215"/>
    </row>
    <row r="1079" spans="11:18" s="41" customFormat="1" x14ac:dyDescent="0.2">
      <c r="N1079" s="162"/>
    </row>
    <row r="1080" spans="11:18" s="41" customFormat="1" x14ac:dyDescent="0.2">
      <c r="N1080" s="162"/>
    </row>
    <row r="1081" spans="11:18" s="41" customFormat="1" x14ac:dyDescent="0.2">
      <c r="N1081" s="162"/>
    </row>
    <row r="1082" spans="11:18" s="41" customFormat="1" x14ac:dyDescent="0.2">
      <c r="N1082" s="162"/>
    </row>
    <row r="1083" spans="11:18" s="41" customFormat="1" x14ac:dyDescent="0.2">
      <c r="N1083" s="162"/>
    </row>
    <row r="1084" spans="11:18" s="41" customFormat="1" x14ac:dyDescent="0.2">
      <c r="N1084" s="162"/>
    </row>
    <row r="1085" spans="11:18" s="41" customFormat="1" x14ac:dyDescent="0.2">
      <c r="N1085" s="162"/>
    </row>
    <row r="1086" spans="11:18" s="41" customFormat="1" x14ac:dyDescent="0.2">
      <c r="N1086" s="162"/>
    </row>
    <row r="1087" spans="11:18" s="41" customFormat="1" x14ac:dyDescent="0.2">
      <c r="N1087" s="162"/>
    </row>
    <row r="1088" spans="11:18" s="41" customFormat="1" x14ac:dyDescent="0.2">
      <c r="N1088" s="162"/>
    </row>
    <row r="1089" spans="1:36" s="41" customFormat="1" x14ac:dyDescent="0.2">
      <c r="N1089" s="162"/>
    </row>
    <row r="1090" spans="1:36" s="41" customFormat="1" x14ac:dyDescent="0.2">
      <c r="N1090" s="162"/>
    </row>
    <row r="1091" spans="1:36" s="41" customFormat="1" x14ac:dyDescent="0.2">
      <c r="N1091" s="162"/>
    </row>
    <row r="1092" spans="1:36" s="41" customFormat="1" x14ac:dyDescent="0.2">
      <c r="N1092" s="162"/>
    </row>
    <row r="1093" spans="1:36" s="41" customFormat="1" x14ac:dyDescent="0.2">
      <c r="N1093" s="162"/>
    </row>
    <row r="1094" spans="1:36" s="41" customFormat="1" x14ac:dyDescent="0.2">
      <c r="N1094" s="162"/>
    </row>
    <row r="1095" spans="1:36" s="41" customFormat="1" x14ac:dyDescent="0.2">
      <c r="N1095" s="162"/>
    </row>
    <row r="1096" spans="1:36" s="41" customFormat="1" x14ac:dyDescent="0.2">
      <c r="N1096" s="162"/>
    </row>
    <row r="1097" spans="1:36" s="41" customFormat="1" x14ac:dyDescent="0.2">
      <c r="N1097" s="162"/>
    </row>
    <row r="1098" spans="1:36" s="41" customFormat="1" x14ac:dyDescent="0.2">
      <c r="N1098" s="162"/>
    </row>
    <row r="1099" spans="1:36" s="41" customFormat="1" ht="15" thickBot="1" x14ac:dyDescent="0.25">
      <c r="N1099" s="162"/>
    </row>
    <row r="1100" spans="1:36" s="41" customFormat="1" ht="57" customHeight="1" thickBot="1" x14ac:dyDescent="0.25">
      <c r="A1100" s="240" t="s">
        <v>162</v>
      </c>
      <c r="B1100" s="241"/>
      <c r="C1100" s="241"/>
      <c r="D1100" s="241"/>
      <c r="E1100" s="241"/>
      <c r="F1100" s="241"/>
      <c r="G1100" s="242"/>
      <c r="K1100" s="193"/>
      <c r="L1100" s="192"/>
      <c r="M1100" s="192"/>
      <c r="N1100" s="192"/>
      <c r="O1100" s="192"/>
      <c r="P1100" s="192"/>
      <c r="Q1100" s="192"/>
      <c r="R1100" s="192"/>
      <c r="S1100" s="200"/>
    </row>
    <row r="1101" spans="1:36" s="41" customFormat="1" ht="15.75" thickBot="1" x14ac:dyDescent="0.3">
      <c r="A1101" s="28"/>
      <c r="B1101" s="234" t="str">
        <f>+B73</f>
        <v>Successful</v>
      </c>
      <c r="C1101" s="235"/>
      <c r="D1101" s="236" t="str">
        <f>+D73</f>
        <v>Unsuccessful</v>
      </c>
      <c r="E1101" s="237"/>
      <c r="F1101" s="238" t="s">
        <v>16</v>
      </c>
      <c r="G1101" s="239"/>
      <c r="H1101" s="206">
        <f>+H73</f>
        <v>2021</v>
      </c>
      <c r="I1101" s="207"/>
      <c r="J1101" s="208"/>
      <c r="K1101" s="206">
        <f>+K73</f>
        <v>2020</v>
      </c>
      <c r="L1101" s="207"/>
      <c r="M1101" s="208"/>
      <c r="N1101" s="206">
        <f>+N73</f>
        <v>2019</v>
      </c>
      <c r="O1101" s="207"/>
      <c r="P1101" s="208"/>
      <c r="Q1101" s="206">
        <f>+Q73</f>
        <v>2018</v>
      </c>
      <c r="R1101" s="207"/>
      <c r="S1101" s="208"/>
      <c r="T1101" s="206">
        <f>+T73</f>
        <v>2017</v>
      </c>
      <c r="U1101" s="207"/>
      <c r="V1101" s="208"/>
      <c r="W1101" s="209">
        <f>+W73</f>
        <v>2016</v>
      </c>
      <c r="X1101" s="210"/>
      <c r="Y1101" s="211"/>
      <c r="Z1101" s="209">
        <f>+Z73</f>
        <v>2015</v>
      </c>
      <c r="AA1101" s="210"/>
      <c r="AB1101" s="211"/>
      <c r="AC1101" s="193"/>
      <c r="AD1101" s="192"/>
      <c r="AE1101" s="192"/>
      <c r="AF1101" s="192"/>
      <c r="AG1101" s="192"/>
      <c r="AH1101" s="192"/>
      <c r="AI1101" s="192"/>
      <c r="AJ1101" s="192"/>
    </row>
    <row r="1102" spans="1:36" s="41" customFormat="1" ht="29.25" thickBot="1" x14ac:dyDescent="0.25">
      <c r="A1102" s="28"/>
      <c r="B1102" s="29" t="s">
        <v>37</v>
      </c>
      <c r="C1102" s="30" t="s">
        <v>38</v>
      </c>
      <c r="D1102" s="29" t="s">
        <v>37</v>
      </c>
      <c r="E1102" s="30" t="s">
        <v>38</v>
      </c>
      <c r="F1102" s="29" t="s">
        <v>37</v>
      </c>
      <c r="G1102" s="30" t="s">
        <v>38</v>
      </c>
      <c r="H1102" s="186" t="s">
        <v>132</v>
      </c>
      <c r="I1102" s="187" t="s">
        <v>133</v>
      </c>
      <c r="J1102" s="44" t="s">
        <v>16</v>
      </c>
      <c r="K1102" s="186" t="s">
        <v>132</v>
      </c>
      <c r="L1102" s="187" t="s">
        <v>133</v>
      </c>
      <c r="M1102" s="44" t="s">
        <v>16</v>
      </c>
      <c r="N1102" s="186" t="s">
        <v>132</v>
      </c>
      <c r="O1102" s="187" t="s">
        <v>133</v>
      </c>
      <c r="P1102" s="44" t="s">
        <v>16</v>
      </c>
      <c r="Q1102" s="186" t="s">
        <v>132</v>
      </c>
      <c r="R1102" s="187" t="s">
        <v>133</v>
      </c>
      <c r="S1102" s="44" t="s">
        <v>16</v>
      </c>
      <c r="T1102" s="186" t="s">
        <v>132</v>
      </c>
      <c r="U1102" s="187" t="s">
        <v>133</v>
      </c>
      <c r="V1102" s="44" t="s">
        <v>16</v>
      </c>
      <c r="W1102" s="186" t="s">
        <v>132</v>
      </c>
      <c r="X1102" s="187" t="s">
        <v>133</v>
      </c>
      <c r="Y1102" s="44" t="s">
        <v>16</v>
      </c>
      <c r="Z1102" s="186" t="s">
        <v>132</v>
      </c>
      <c r="AA1102" s="187" t="s">
        <v>133</v>
      </c>
      <c r="AB1102" s="44" t="s">
        <v>16</v>
      </c>
      <c r="AC1102" s="144"/>
      <c r="AD1102" s="144"/>
      <c r="AE1102" s="144"/>
      <c r="AF1102" s="163"/>
      <c r="AG1102" s="143"/>
      <c r="AH1102" s="142"/>
      <c r="AI1102" s="142"/>
      <c r="AJ1102" s="142"/>
    </row>
    <row r="1103" spans="1:36" s="41" customFormat="1" x14ac:dyDescent="0.2">
      <c r="A1103" s="98" t="s">
        <v>134</v>
      </c>
      <c r="B1103" s="31">
        <f>COUNTIFS(DATA!$AM$3:$AM$7183,1,DATA!$D$3:$D$7183,260)</f>
        <v>63</v>
      </c>
      <c r="C1103" s="35">
        <f>+B1103/$B$1108</f>
        <v>0.27510917030567683</v>
      </c>
      <c r="D1103" s="31">
        <f>COUNTIFS(DATA!$AM$3:$AM$7183,1,DATA!$D$3:$D$7183,280)</f>
        <v>30</v>
      </c>
      <c r="E1103" s="35">
        <f>+D1103/$D$1108</f>
        <v>0.30927835051546393</v>
      </c>
      <c r="F1103" s="31">
        <f>+D1103+B1103</f>
        <v>93</v>
      </c>
      <c r="G1103" s="35">
        <f>+F1103/$F$1108</f>
        <v>0.28527607361963192</v>
      </c>
      <c r="H1103" s="181">
        <v>0.25120772946859904</v>
      </c>
      <c r="I1103" s="180">
        <v>0.35869565217391303</v>
      </c>
      <c r="J1103" s="182">
        <v>0.28428093645484948</v>
      </c>
      <c r="K1103" s="181">
        <v>0.26104417670682734</v>
      </c>
      <c r="L1103" s="180">
        <v>0.34306569343065696</v>
      </c>
      <c r="M1103" s="182">
        <v>0.29015544041450775</v>
      </c>
      <c r="N1103" s="181">
        <v>0.3135593220338983</v>
      </c>
      <c r="O1103" s="180">
        <v>0.41875000000000001</v>
      </c>
      <c r="P1103" s="182">
        <v>0.34630350194552528</v>
      </c>
      <c r="Q1103" s="181">
        <v>0.31</v>
      </c>
      <c r="R1103" s="180">
        <v>0.44</v>
      </c>
      <c r="S1103" s="182">
        <v>0.35</v>
      </c>
      <c r="T1103" s="181">
        <v>0.34006734006734007</v>
      </c>
      <c r="U1103" s="180">
        <v>0.36809815950920244</v>
      </c>
      <c r="V1103" s="182">
        <v>0.35</v>
      </c>
      <c r="W1103" s="181">
        <v>0.28445747800586513</v>
      </c>
      <c r="X1103" s="180">
        <v>0.43055555555555558</v>
      </c>
      <c r="Y1103" s="182">
        <v>0.32783505154639175</v>
      </c>
      <c r="Z1103" s="181">
        <v>0.26851851851851855</v>
      </c>
      <c r="AA1103" s="180">
        <v>0.33</v>
      </c>
      <c r="AB1103" s="182">
        <v>0.28538283062645009</v>
      </c>
      <c r="AC1103" s="145"/>
      <c r="AD1103" s="145"/>
      <c r="AE1103" s="145"/>
      <c r="AF1103" s="163"/>
      <c r="AG1103" s="143"/>
      <c r="AH1103" s="142"/>
      <c r="AI1103" s="142"/>
      <c r="AJ1103" s="142"/>
    </row>
    <row r="1104" spans="1:36" s="41" customFormat="1" ht="29.25" customHeight="1" x14ac:dyDescent="0.2">
      <c r="A1104" s="92" t="s">
        <v>89</v>
      </c>
      <c r="B1104" s="31">
        <f>COUNTIFS(DATA!$AM$3:$AM$7183,2,DATA!$D$3:$D$7183,260)</f>
        <v>27</v>
      </c>
      <c r="C1104" s="35">
        <f t="shared" ref="C1104:C1107" si="119">+B1104/$B$1108</f>
        <v>0.11790393013100436</v>
      </c>
      <c r="D1104" s="42">
        <f>COUNTIFS(DATA!$AM$3:$AM$7183,2,DATA!$D$3:$D$7183,280)</f>
        <v>4</v>
      </c>
      <c r="E1104" s="35">
        <f t="shared" ref="E1104:E1107" si="120">+D1104/$D$1108</f>
        <v>4.1237113402061855E-2</v>
      </c>
      <c r="F1104" s="42">
        <f t="shared" ref="F1104:F1106" si="121">+D1104+B1104</f>
        <v>31</v>
      </c>
      <c r="G1104" s="35">
        <f t="shared" ref="G1104:G1107" si="122">+F1104/$F$1108</f>
        <v>9.5092024539877307E-2</v>
      </c>
      <c r="H1104" s="181">
        <v>8.2125603864734303E-2</v>
      </c>
      <c r="I1104" s="180">
        <v>9.7826086956521743E-2</v>
      </c>
      <c r="J1104" s="182">
        <v>8.6956521739130432E-2</v>
      </c>
      <c r="K1104" s="181">
        <v>9.6385542168674704E-2</v>
      </c>
      <c r="L1104" s="180">
        <v>5.8394160583941604E-2</v>
      </c>
      <c r="M1104" s="182">
        <v>8.2901554404145081E-2</v>
      </c>
      <c r="N1104" s="181">
        <v>0.12994350282485875</v>
      </c>
      <c r="O1104" s="180">
        <v>8.7499999999999994E-2</v>
      </c>
      <c r="P1104" s="182">
        <v>0.11673151750972763</v>
      </c>
      <c r="Q1104" s="181">
        <v>7.0000000000000007E-2</v>
      </c>
      <c r="R1104" s="180">
        <v>0.12</v>
      </c>
      <c r="S1104" s="182">
        <v>0.09</v>
      </c>
      <c r="T1104" s="181">
        <v>8.4175084175084181E-2</v>
      </c>
      <c r="U1104" s="180">
        <v>8.5889570552147243E-2</v>
      </c>
      <c r="V1104" s="182">
        <v>8.478260869565217E-2</v>
      </c>
      <c r="W1104" s="181">
        <v>9.0909090909090912E-2</v>
      </c>
      <c r="X1104" s="180">
        <v>0.1388888888888889</v>
      </c>
      <c r="Y1104" s="182">
        <v>0.10515463917525773</v>
      </c>
      <c r="Z1104" s="181">
        <v>0.14814814814814814</v>
      </c>
      <c r="AA1104" s="180">
        <v>0.2</v>
      </c>
      <c r="AB1104" s="182">
        <v>0.16241299303944315</v>
      </c>
    </row>
    <row r="1105" spans="1:32" s="41" customFormat="1" ht="28.5" customHeight="1" x14ac:dyDescent="0.2">
      <c r="A1105" s="92" t="s">
        <v>90</v>
      </c>
      <c r="B1105" s="31">
        <f>COUNTIFS(DATA!$AM$3:$AM$7183,"3",DATA!$D$3:$D$7183,260)</f>
        <v>22</v>
      </c>
      <c r="C1105" s="35">
        <f t="shared" si="119"/>
        <v>9.606986899563319E-2</v>
      </c>
      <c r="D1105" s="42">
        <f>COUNTIFS(DATA!$AM$3:$AM$7183,"3",DATA!$D$3:$D$7183,280)</f>
        <v>11</v>
      </c>
      <c r="E1105" s="35">
        <f t="shared" si="120"/>
        <v>0.1134020618556701</v>
      </c>
      <c r="F1105" s="42">
        <f t="shared" si="121"/>
        <v>33</v>
      </c>
      <c r="G1105" s="35">
        <f t="shared" si="122"/>
        <v>0.10122699386503067</v>
      </c>
      <c r="H1105" s="181">
        <v>0.13043478260869565</v>
      </c>
      <c r="I1105" s="180">
        <v>6.5217391304347824E-2</v>
      </c>
      <c r="J1105" s="182">
        <v>0.11036789297658862</v>
      </c>
      <c r="K1105" s="181">
        <v>4.0160642570281124E-2</v>
      </c>
      <c r="L1105" s="180">
        <v>6.569343065693431E-2</v>
      </c>
      <c r="M1105" s="182">
        <v>4.9222797927461141E-2</v>
      </c>
      <c r="N1105" s="181">
        <v>3.3898305084745763E-2</v>
      </c>
      <c r="O1105" s="180">
        <v>5.6250000000000001E-2</v>
      </c>
      <c r="P1105" s="182">
        <v>4.085603112840467E-2</v>
      </c>
      <c r="Q1105" s="181">
        <v>7.0000000000000007E-2</v>
      </c>
      <c r="R1105" s="180">
        <v>0.06</v>
      </c>
      <c r="S1105" s="182">
        <v>7.0000000000000007E-2</v>
      </c>
      <c r="T1105" s="181">
        <v>9.0909090909090912E-2</v>
      </c>
      <c r="U1105" s="180">
        <v>7.9754601226993863E-2</v>
      </c>
      <c r="V1105" s="182">
        <v>8.6956521739130432E-2</v>
      </c>
      <c r="W1105" s="181">
        <v>6.4516129032258063E-2</v>
      </c>
      <c r="X1105" s="180">
        <v>9.0277777777777776E-2</v>
      </c>
      <c r="Y1105" s="182">
        <v>7.2164948453608241E-2</v>
      </c>
      <c r="Z1105" s="181">
        <v>8.0246913580246909E-2</v>
      </c>
      <c r="AA1105" s="180">
        <v>0.1</v>
      </c>
      <c r="AB1105" s="182">
        <v>0.09</v>
      </c>
    </row>
    <row r="1106" spans="1:32" s="41" customFormat="1" ht="27.75" customHeight="1" x14ac:dyDescent="0.2">
      <c r="A1106" s="82" t="s">
        <v>91</v>
      </c>
      <c r="B1106" s="31">
        <f>COUNTIFS(DATA!$AM$3:$AM$7183,"4",DATA!$D$3:$D$7183,260)</f>
        <v>101</v>
      </c>
      <c r="C1106" s="35">
        <f t="shared" si="119"/>
        <v>0.44104803493449779</v>
      </c>
      <c r="D1106" s="42">
        <f>COUNTIFS(DATA!$AM$3:$AM$7183,"4",DATA!$D$3:$D$7183,280)</f>
        <v>47</v>
      </c>
      <c r="E1106" s="35">
        <f t="shared" si="120"/>
        <v>0.4845360824742268</v>
      </c>
      <c r="F1106" s="42">
        <f t="shared" si="121"/>
        <v>148</v>
      </c>
      <c r="G1106" s="35">
        <f t="shared" si="122"/>
        <v>0.45398773006134968</v>
      </c>
      <c r="H1106" s="181">
        <v>0.47826086956521741</v>
      </c>
      <c r="I1106" s="180">
        <v>0.35869565217391303</v>
      </c>
      <c r="J1106" s="182">
        <v>0.4414715719063545</v>
      </c>
      <c r="K1106" s="181">
        <v>0.54618473895582331</v>
      </c>
      <c r="L1106" s="180">
        <v>0.47445255474452552</v>
      </c>
      <c r="M1106" s="182">
        <v>0.52072538860103623</v>
      </c>
      <c r="N1106" s="181">
        <v>0.46610169491525422</v>
      </c>
      <c r="O1106" s="180">
        <v>0.36249999999999999</v>
      </c>
      <c r="P1106" s="182">
        <v>0.43385214007782102</v>
      </c>
      <c r="Q1106" s="181">
        <v>0.48</v>
      </c>
      <c r="R1106" s="180">
        <v>0.3</v>
      </c>
      <c r="S1106" s="182">
        <v>0.42</v>
      </c>
      <c r="T1106" s="181">
        <v>0.45117845117845118</v>
      </c>
      <c r="U1106" s="180">
        <v>0.3987730061349693</v>
      </c>
      <c r="V1106" s="182">
        <v>0.43260869565217391</v>
      </c>
      <c r="W1106" s="181">
        <v>0.49266862170087977</v>
      </c>
      <c r="X1106" s="180">
        <v>0.27083333333333331</v>
      </c>
      <c r="Y1106" s="182">
        <v>0.42680412371134019</v>
      </c>
      <c r="Z1106" s="181">
        <v>0.45</v>
      </c>
      <c r="AA1106" s="180">
        <v>0.28000000000000003</v>
      </c>
      <c r="AB1106" s="182">
        <v>0.41</v>
      </c>
    </row>
    <row r="1107" spans="1:32" s="41" customFormat="1" ht="29.25" customHeight="1" thickBot="1" x14ac:dyDescent="0.25">
      <c r="A1107" s="93" t="s">
        <v>39</v>
      </c>
      <c r="B1107" s="31">
        <f>COUNTIFS(DATA!$AM$3:$AM$7183,"5",DATA!$D$3:$D$7183,260)</f>
        <v>16</v>
      </c>
      <c r="C1107" s="35">
        <f t="shared" si="119"/>
        <v>6.9868995633187769E-2</v>
      </c>
      <c r="D1107" s="42">
        <f>COUNTIFS(DATA!$AM$3:$AM$7183,"5",DATA!$D$3:$D$7183,280)</f>
        <v>5</v>
      </c>
      <c r="E1107" s="35">
        <f t="shared" si="120"/>
        <v>5.1546391752577317E-2</v>
      </c>
      <c r="F1107" s="42">
        <f t="shared" ref="F1107" si="123">+D1107+B1107</f>
        <v>21</v>
      </c>
      <c r="G1107" s="35">
        <f t="shared" si="122"/>
        <v>6.4417177914110432E-2</v>
      </c>
      <c r="H1107" s="181">
        <v>5.7971014492753624E-2</v>
      </c>
      <c r="I1107" s="180">
        <v>0.11956521739130435</v>
      </c>
      <c r="J1107" s="182">
        <v>7.6923076923076927E-2</v>
      </c>
      <c r="K1107" s="181">
        <v>5.6224899598393573E-2</v>
      </c>
      <c r="L1107" s="180">
        <v>5.8394160583941604E-2</v>
      </c>
      <c r="M1107" s="182">
        <v>5.6994818652849742E-2</v>
      </c>
      <c r="N1107" s="181">
        <v>5.6497175141242938E-2</v>
      </c>
      <c r="O1107" s="180">
        <v>7.4999999999999997E-2</v>
      </c>
      <c r="P1107" s="182">
        <v>6.2256809338521402E-2</v>
      </c>
      <c r="Q1107" s="181">
        <v>7.0000000000000007E-2</v>
      </c>
      <c r="R1107" s="180">
        <v>0.09</v>
      </c>
      <c r="S1107" s="182">
        <v>7.0000000000000007E-2</v>
      </c>
      <c r="T1107" s="181">
        <v>3.3670033670033669E-2</v>
      </c>
      <c r="U1107" s="180">
        <v>6.7484662576687116E-2</v>
      </c>
      <c r="V1107" s="182">
        <v>4.5652173913043478E-2</v>
      </c>
      <c r="W1107" s="181">
        <v>6.7448680351906154E-2</v>
      </c>
      <c r="X1107" s="180">
        <v>6.9444444444444448E-2</v>
      </c>
      <c r="Y1107" s="182">
        <v>6.8041237113402056E-2</v>
      </c>
      <c r="Z1107" s="181">
        <v>0.05</v>
      </c>
      <c r="AA1107" s="180">
        <v>0.09</v>
      </c>
      <c r="AB1107" s="182">
        <v>0.06</v>
      </c>
    </row>
    <row r="1108" spans="1:32" s="41" customFormat="1" ht="15.75" thickBot="1" x14ac:dyDescent="0.3">
      <c r="A1108" s="111" t="s">
        <v>16</v>
      </c>
      <c r="B1108" s="101">
        <f>SUM(B1103:B1107)</f>
        <v>229</v>
      </c>
      <c r="C1108" s="114">
        <f>+B1108/$B$1108</f>
        <v>1</v>
      </c>
      <c r="D1108" s="101">
        <f>SUM(D1103:D1107)</f>
        <v>97</v>
      </c>
      <c r="E1108" s="114">
        <f>+D1108/$D$1108</f>
        <v>1</v>
      </c>
      <c r="F1108" s="101">
        <f>SUM(F1103:F1107)</f>
        <v>326</v>
      </c>
      <c r="G1108" s="114">
        <f>+F1108/$F$1108</f>
        <v>1</v>
      </c>
      <c r="H1108" s="183">
        <v>1</v>
      </c>
      <c r="I1108" s="184">
        <v>1</v>
      </c>
      <c r="J1108" s="185">
        <v>1</v>
      </c>
      <c r="K1108" s="183">
        <v>1</v>
      </c>
      <c r="L1108" s="184">
        <v>1</v>
      </c>
      <c r="M1108" s="185">
        <v>1</v>
      </c>
      <c r="N1108" s="183">
        <v>1</v>
      </c>
      <c r="O1108" s="184">
        <v>1</v>
      </c>
      <c r="P1108" s="185">
        <v>1</v>
      </c>
      <c r="Q1108" s="183">
        <v>1</v>
      </c>
      <c r="R1108" s="184">
        <v>1</v>
      </c>
      <c r="S1108" s="185">
        <v>1</v>
      </c>
      <c r="T1108" s="183">
        <v>1</v>
      </c>
      <c r="U1108" s="184">
        <v>1</v>
      </c>
      <c r="V1108" s="185">
        <v>1</v>
      </c>
      <c r="W1108" s="183">
        <v>1</v>
      </c>
      <c r="X1108" s="184">
        <v>1</v>
      </c>
      <c r="Y1108" s="185">
        <v>1</v>
      </c>
      <c r="Z1108" s="183">
        <v>1</v>
      </c>
      <c r="AA1108" s="184">
        <v>1</v>
      </c>
      <c r="AB1108" s="185">
        <v>1</v>
      </c>
      <c r="AF1108" s="162"/>
    </row>
    <row r="1109" spans="1:32" s="41" customFormat="1" x14ac:dyDescent="0.2">
      <c r="N1109" s="162"/>
    </row>
    <row r="1110" spans="1:32" s="41" customFormat="1" x14ac:dyDescent="0.2">
      <c r="N1110" s="162"/>
    </row>
    <row r="1111" spans="1:32" s="41" customFormat="1" x14ac:dyDescent="0.2">
      <c r="N1111" s="162"/>
    </row>
    <row r="1112" spans="1:32" s="41" customFormat="1" x14ac:dyDescent="0.2">
      <c r="N1112" s="162"/>
    </row>
    <row r="1113" spans="1:32" s="41" customFormat="1" x14ac:dyDescent="0.2">
      <c r="N1113" s="162"/>
    </row>
    <row r="1114" spans="1:32" s="41" customFormat="1" ht="14.25" customHeight="1" x14ac:dyDescent="0.2">
      <c r="K1114" s="219" t="s">
        <v>7179</v>
      </c>
      <c r="L1114" s="219"/>
      <c r="M1114" s="219"/>
      <c r="N1114" s="219"/>
      <c r="O1114" s="219"/>
      <c r="P1114" s="219"/>
      <c r="Q1114" s="219"/>
      <c r="R1114" s="219"/>
    </row>
    <row r="1115" spans="1:32" s="41" customFormat="1" x14ac:dyDescent="0.2">
      <c r="K1115" s="219"/>
      <c r="L1115" s="219"/>
      <c r="M1115" s="219"/>
      <c r="N1115" s="219"/>
      <c r="O1115" s="219"/>
      <c r="P1115" s="219"/>
      <c r="Q1115" s="219"/>
      <c r="R1115" s="219"/>
    </row>
    <row r="1116" spans="1:32" s="41" customFormat="1" ht="14.25" customHeight="1" x14ac:dyDescent="0.2">
      <c r="K1116" s="219" t="s">
        <v>7180</v>
      </c>
      <c r="L1116" s="219"/>
      <c r="M1116" s="219"/>
      <c r="N1116" s="219"/>
      <c r="O1116" s="219"/>
      <c r="P1116" s="219"/>
      <c r="Q1116" s="219"/>
      <c r="R1116" s="219"/>
    </row>
    <row r="1117" spans="1:32" s="41" customFormat="1" x14ac:dyDescent="0.2">
      <c r="K1117" s="219"/>
      <c r="L1117" s="219"/>
      <c r="M1117" s="219"/>
      <c r="N1117" s="219"/>
      <c r="O1117" s="219"/>
      <c r="P1117" s="219"/>
      <c r="Q1117" s="219"/>
      <c r="R1117" s="219"/>
    </row>
    <row r="1118" spans="1:32" s="41" customFormat="1" ht="14.25" customHeight="1" x14ac:dyDescent="0.2">
      <c r="K1118" s="215" t="s">
        <v>7181</v>
      </c>
      <c r="L1118" s="215"/>
      <c r="M1118" s="215"/>
      <c r="N1118" s="215"/>
      <c r="O1118" s="215"/>
      <c r="P1118" s="215"/>
      <c r="Q1118" s="215"/>
      <c r="R1118" s="215"/>
    </row>
    <row r="1119" spans="1:32" s="41" customFormat="1" x14ac:dyDescent="0.2">
      <c r="K1119" s="215"/>
      <c r="L1119" s="215"/>
      <c r="M1119" s="215"/>
      <c r="N1119" s="215"/>
      <c r="O1119" s="215"/>
      <c r="P1119" s="215"/>
      <c r="Q1119" s="215"/>
      <c r="R1119" s="215"/>
    </row>
    <row r="1120" spans="1:32" s="41" customFormat="1" ht="14.25" customHeight="1" x14ac:dyDescent="0.2">
      <c r="K1120" s="215" t="s">
        <v>7182</v>
      </c>
      <c r="L1120" s="215"/>
      <c r="M1120" s="215"/>
      <c r="N1120" s="215"/>
      <c r="O1120" s="215"/>
      <c r="P1120" s="215"/>
      <c r="Q1120" s="215"/>
      <c r="R1120" s="215"/>
    </row>
    <row r="1121" spans="1:18" s="41" customFormat="1" x14ac:dyDescent="0.2">
      <c r="K1121" s="215"/>
      <c r="L1121" s="215"/>
      <c r="M1121" s="215"/>
      <c r="N1121" s="215"/>
      <c r="O1121" s="215"/>
      <c r="P1121" s="215"/>
      <c r="Q1121" s="215"/>
      <c r="R1121" s="215"/>
    </row>
    <row r="1122" spans="1:18" s="41" customFormat="1" x14ac:dyDescent="0.2">
      <c r="N1122" s="162"/>
    </row>
    <row r="1123" spans="1:18" s="41" customFormat="1" x14ac:dyDescent="0.2">
      <c r="N1123" s="162"/>
    </row>
    <row r="1124" spans="1:18" s="41" customFormat="1" x14ac:dyDescent="0.2">
      <c r="N1124" s="162"/>
    </row>
    <row r="1125" spans="1:18" s="41" customFormat="1" x14ac:dyDescent="0.2">
      <c r="N1125" s="162"/>
    </row>
    <row r="1126" spans="1:18" s="41" customFormat="1" x14ac:dyDescent="0.2">
      <c r="N1126" s="162"/>
    </row>
    <row r="1127" spans="1:18" s="41" customFormat="1" x14ac:dyDescent="0.2">
      <c r="N1127" s="162"/>
    </row>
    <row r="1128" spans="1:18" s="41" customFormat="1" x14ac:dyDescent="0.2">
      <c r="N1128" s="162"/>
    </row>
    <row r="1129" spans="1:18" s="41" customFormat="1" x14ac:dyDescent="0.2">
      <c r="N1129" s="162"/>
    </row>
    <row r="1130" spans="1:18" s="41" customFormat="1" x14ac:dyDescent="0.2">
      <c r="N1130" s="162"/>
    </row>
    <row r="1131" spans="1:18" s="41" customFormat="1" x14ac:dyDescent="0.2">
      <c r="N1131" s="162"/>
    </row>
    <row r="1132" spans="1:18" s="41" customFormat="1" x14ac:dyDescent="0.2">
      <c r="N1132" s="162"/>
    </row>
    <row r="1133" spans="1:18" s="41" customFormat="1" x14ac:dyDescent="0.2">
      <c r="N1133" s="162"/>
    </row>
    <row r="1134" spans="1:18" s="41" customFormat="1" x14ac:dyDescent="0.2">
      <c r="N1134" s="162"/>
    </row>
    <row r="1135" spans="1:18" s="41" customFormat="1" ht="15" thickBot="1" x14ac:dyDescent="0.25">
      <c r="N1135" s="162"/>
    </row>
    <row r="1136" spans="1:18" s="41" customFormat="1" ht="56.25" customHeight="1" thickBot="1" x14ac:dyDescent="0.25">
      <c r="A1136" s="240" t="s">
        <v>163</v>
      </c>
      <c r="B1136" s="241"/>
      <c r="C1136" s="241"/>
      <c r="D1136" s="241"/>
      <c r="E1136" s="241"/>
      <c r="F1136" s="241"/>
      <c r="G1136" s="242"/>
      <c r="H1136" s="74"/>
      <c r="I1136" s="74"/>
      <c r="J1136" s="74"/>
      <c r="K1136" s="74"/>
      <c r="N1136" s="162"/>
    </row>
    <row r="1137" spans="1:32" s="41" customFormat="1" ht="15.75" thickBot="1" x14ac:dyDescent="0.3">
      <c r="A1137" s="28"/>
      <c r="B1137" s="234" t="str">
        <f>+B73</f>
        <v>Successful</v>
      </c>
      <c r="C1137" s="235"/>
      <c r="D1137" s="236" t="str">
        <f>+D73</f>
        <v>Unsuccessful</v>
      </c>
      <c r="E1137" s="237"/>
      <c r="F1137" s="238" t="s">
        <v>16</v>
      </c>
      <c r="G1137" s="239"/>
      <c r="H1137" s="206">
        <f>+H73</f>
        <v>2021</v>
      </c>
      <c r="I1137" s="207"/>
      <c r="J1137" s="208"/>
      <c r="K1137" s="206">
        <f>+K73</f>
        <v>2020</v>
      </c>
      <c r="L1137" s="207"/>
      <c r="M1137" s="208"/>
      <c r="N1137" s="206">
        <f>+N73</f>
        <v>2019</v>
      </c>
      <c r="O1137" s="207"/>
      <c r="P1137" s="208"/>
      <c r="Q1137" s="206">
        <f>+Q73</f>
        <v>2018</v>
      </c>
      <c r="R1137" s="207"/>
      <c r="S1137" s="208"/>
      <c r="T1137" s="206">
        <f>+T73</f>
        <v>2017</v>
      </c>
      <c r="U1137" s="207"/>
      <c r="V1137" s="208"/>
      <c r="W1137" s="209">
        <f>+W73</f>
        <v>2016</v>
      </c>
      <c r="X1137" s="210"/>
      <c r="Y1137" s="211"/>
      <c r="Z1137" s="209">
        <f>+Z73</f>
        <v>2015</v>
      </c>
      <c r="AA1137" s="210"/>
      <c r="AB1137" s="211"/>
      <c r="AC1137" s="165"/>
      <c r="AF1137" s="162"/>
    </row>
    <row r="1138" spans="1:32" s="41" customFormat="1" ht="29.25" customHeight="1" thickBot="1" x14ac:dyDescent="0.25">
      <c r="A1138" s="28"/>
      <c r="B1138" s="29" t="s">
        <v>37</v>
      </c>
      <c r="C1138" s="30" t="s">
        <v>38</v>
      </c>
      <c r="D1138" s="29" t="s">
        <v>37</v>
      </c>
      <c r="E1138" s="30" t="s">
        <v>38</v>
      </c>
      <c r="F1138" s="29" t="s">
        <v>37</v>
      </c>
      <c r="G1138" s="30" t="s">
        <v>38</v>
      </c>
      <c r="H1138" s="186" t="s">
        <v>132</v>
      </c>
      <c r="I1138" s="187" t="s">
        <v>133</v>
      </c>
      <c r="J1138" s="44" t="s">
        <v>16</v>
      </c>
      <c r="K1138" s="186" t="s">
        <v>132</v>
      </c>
      <c r="L1138" s="187" t="s">
        <v>133</v>
      </c>
      <c r="M1138" s="44" t="s">
        <v>16</v>
      </c>
      <c r="N1138" s="186" t="s">
        <v>132</v>
      </c>
      <c r="O1138" s="187" t="s">
        <v>133</v>
      </c>
      <c r="P1138" s="44" t="s">
        <v>16</v>
      </c>
      <c r="Q1138" s="186" t="s">
        <v>132</v>
      </c>
      <c r="R1138" s="187" t="s">
        <v>133</v>
      </c>
      <c r="S1138" s="44" t="s">
        <v>16</v>
      </c>
      <c r="T1138" s="186" t="s">
        <v>132</v>
      </c>
      <c r="U1138" s="187" t="s">
        <v>133</v>
      </c>
      <c r="V1138" s="44" t="s">
        <v>16</v>
      </c>
      <c r="W1138" s="186" t="s">
        <v>132</v>
      </c>
      <c r="X1138" s="187" t="s">
        <v>133</v>
      </c>
      <c r="Y1138" s="44" t="s">
        <v>16</v>
      </c>
      <c r="Z1138" s="186" t="s">
        <v>132</v>
      </c>
      <c r="AA1138" s="187" t="s">
        <v>133</v>
      </c>
      <c r="AB1138" s="44" t="s">
        <v>16</v>
      </c>
    </row>
    <row r="1139" spans="1:32" s="41" customFormat="1" x14ac:dyDescent="0.2">
      <c r="A1139" s="98" t="s">
        <v>134</v>
      </c>
      <c r="B1139" s="31">
        <f>COUNTIFS(DATA!$AN$3:$AN$7183,1,DATA!$D$3:$D$7183,260)</f>
        <v>55</v>
      </c>
      <c r="C1139" s="35">
        <f>IF(B1143=0,0,+B1139/B1143)</f>
        <v>0.61111111111111116</v>
      </c>
      <c r="D1139" s="31">
        <f>COUNTIFS(DATA!$AN$3:$AN$7183,1,DATA!$D$3:$D$7183,280)</f>
        <v>14</v>
      </c>
      <c r="E1139" s="35">
        <f>+D1139/D1143</f>
        <v>0.41176470588235292</v>
      </c>
      <c r="F1139" s="31">
        <f>+D1139+B1139</f>
        <v>69</v>
      </c>
      <c r="G1139" s="35">
        <f>+F1139/F1143</f>
        <v>0.55645161290322576</v>
      </c>
      <c r="H1139" s="181">
        <v>0.6811594202898551</v>
      </c>
      <c r="I1139" s="180">
        <v>0.42857142857142855</v>
      </c>
      <c r="J1139" s="182">
        <v>0.5855855855855856</v>
      </c>
      <c r="K1139" s="181">
        <v>0.6404494382022472</v>
      </c>
      <c r="L1139" s="180">
        <v>0.47272727272727272</v>
      </c>
      <c r="M1139" s="182">
        <v>0.57638888888888884</v>
      </c>
      <c r="N1139" s="181">
        <v>0.61146496815286622</v>
      </c>
      <c r="O1139" s="180">
        <v>0.49382716049382713</v>
      </c>
      <c r="P1139" s="182">
        <v>0.5714285714285714</v>
      </c>
      <c r="Q1139" s="181">
        <v>0.52</v>
      </c>
      <c r="R1139" s="180">
        <v>0.47</v>
      </c>
      <c r="S1139" s="182">
        <v>0.5</v>
      </c>
      <c r="T1139" s="181">
        <v>0.58399999999999996</v>
      </c>
      <c r="U1139" s="180">
        <v>0.41891891891891891</v>
      </c>
      <c r="V1139" s="182">
        <v>0.52261306532663321</v>
      </c>
      <c r="W1139" s="181">
        <v>0.5625</v>
      </c>
      <c r="X1139" s="180">
        <v>0.53012048192771088</v>
      </c>
      <c r="Y1139" s="182">
        <v>0.54976303317535546</v>
      </c>
      <c r="Z1139" s="181">
        <v>0.55944055944055948</v>
      </c>
      <c r="AA1139" s="180">
        <v>0.43103448275862066</v>
      </c>
      <c r="AB1139" s="182">
        <v>0.52238805970149249</v>
      </c>
    </row>
    <row r="1140" spans="1:32" s="41" customFormat="1" ht="29.25" customHeight="1" x14ac:dyDescent="0.2">
      <c r="A1140" s="99" t="s">
        <v>135</v>
      </c>
      <c r="B1140" s="31">
        <f>COUNTIFS(DATA!$AN$3:$AN$7183,2,DATA!$D$3:$D$7183,260)</f>
        <v>6</v>
      </c>
      <c r="C1140" s="35">
        <f>IF(B1143=0,0,+B1140/B1143)</f>
        <v>6.6666666666666666E-2</v>
      </c>
      <c r="D1140" s="42">
        <f>COUNTIFS(DATA!$AN$3:$AN$7183,2,DATA!$D$3:$D$7183,280)</f>
        <v>5</v>
      </c>
      <c r="E1140" s="35">
        <f>+D1140/D1143</f>
        <v>0.14705882352941177</v>
      </c>
      <c r="F1140" s="42">
        <f t="shared" ref="F1140:F1142" si="124">+D1140+B1140</f>
        <v>11</v>
      </c>
      <c r="G1140" s="35">
        <f>+F1140/F1143</f>
        <v>8.8709677419354843E-2</v>
      </c>
      <c r="H1140" s="181">
        <v>0.10144927536231885</v>
      </c>
      <c r="I1140" s="180">
        <v>0.2857142857142857</v>
      </c>
      <c r="J1140" s="182">
        <v>0.17117117117117117</v>
      </c>
      <c r="K1140" s="181">
        <v>0.11235955056179775</v>
      </c>
      <c r="L1140" s="180">
        <v>0.12727272727272726</v>
      </c>
      <c r="M1140" s="182">
        <v>0.11805555555555555</v>
      </c>
      <c r="N1140" s="181">
        <v>0.11464968152866242</v>
      </c>
      <c r="O1140" s="180">
        <v>0.27160493827160492</v>
      </c>
      <c r="P1140" s="182">
        <v>0.16806722689075632</v>
      </c>
      <c r="Q1140" s="181">
        <v>0.11</v>
      </c>
      <c r="R1140" s="180">
        <v>0.16</v>
      </c>
      <c r="S1140" s="182">
        <v>0.13</v>
      </c>
      <c r="T1140" s="181">
        <v>0.152</v>
      </c>
      <c r="U1140" s="180">
        <v>0.35135135135135137</v>
      </c>
      <c r="V1140" s="182">
        <v>0.22613065326633167</v>
      </c>
      <c r="W1140" s="181">
        <v>9.375E-2</v>
      </c>
      <c r="X1140" s="180">
        <v>0.26506024096385544</v>
      </c>
      <c r="Y1140" s="182">
        <v>0.16113744075829384</v>
      </c>
      <c r="Z1140" s="181">
        <v>0.11188811188811189</v>
      </c>
      <c r="AA1140" s="180">
        <v>0.31034482758620691</v>
      </c>
      <c r="AB1140" s="182">
        <v>0.1691542288557214</v>
      </c>
    </row>
    <row r="1141" spans="1:32" s="41" customFormat="1" ht="29.25" customHeight="1" x14ac:dyDescent="0.2">
      <c r="A1141" s="92" t="s">
        <v>94</v>
      </c>
      <c r="B1141" s="31">
        <f>COUNTIFS(DATA!$AN$3:$AN$7183,"3",DATA!$D$3:$D$7183,260)</f>
        <v>20</v>
      </c>
      <c r="C1141" s="35">
        <f>IF(B1143=0,0,+B1141/B1143)</f>
        <v>0.22222222222222221</v>
      </c>
      <c r="D1141" s="42">
        <f>COUNTIFS(DATA!$AN$3:$AN$7183,"3",DATA!$D$3:$D$7183,280)</f>
        <v>8</v>
      </c>
      <c r="E1141" s="35">
        <f>+D1141/D1143</f>
        <v>0.23529411764705882</v>
      </c>
      <c r="F1141" s="42">
        <f t="shared" si="124"/>
        <v>28</v>
      </c>
      <c r="G1141" s="35">
        <f>+F1141/F1143</f>
        <v>0.22580645161290322</v>
      </c>
      <c r="H1141" s="181">
        <v>5.7971014492753624E-2</v>
      </c>
      <c r="I1141" s="180">
        <v>0.16666666666666666</v>
      </c>
      <c r="J1141" s="182">
        <v>9.90990990990991E-2</v>
      </c>
      <c r="K1141" s="181">
        <v>0.10112359550561797</v>
      </c>
      <c r="L1141" s="180">
        <v>0.14545454545454545</v>
      </c>
      <c r="M1141" s="182">
        <v>0.11805555555555555</v>
      </c>
      <c r="N1141" s="181">
        <v>0.17834394904458598</v>
      </c>
      <c r="O1141" s="180">
        <v>9.8765432098765427E-2</v>
      </c>
      <c r="P1141" s="182">
        <v>0.15126050420168066</v>
      </c>
      <c r="Q1141" s="181">
        <v>0.21</v>
      </c>
      <c r="R1141" s="180">
        <v>0.13</v>
      </c>
      <c r="S1141" s="182">
        <v>0.18</v>
      </c>
      <c r="T1141" s="181">
        <v>0.104</v>
      </c>
      <c r="U1141" s="180">
        <v>0.13513513513513514</v>
      </c>
      <c r="V1141" s="182">
        <v>0.11557788944723618</v>
      </c>
      <c r="W1141" s="181">
        <v>0.1796875</v>
      </c>
      <c r="X1141" s="180">
        <v>0.10843373493975904</v>
      </c>
      <c r="Y1141" s="182">
        <v>0.15165876777251186</v>
      </c>
      <c r="Z1141" s="181">
        <v>0.21678321678321677</v>
      </c>
      <c r="AA1141" s="180">
        <v>0.1206896551724138</v>
      </c>
      <c r="AB1141" s="182">
        <v>0.1890547263681592</v>
      </c>
    </row>
    <row r="1142" spans="1:32" s="41" customFormat="1" ht="15" thickBot="1" x14ac:dyDescent="0.25">
      <c r="A1142" s="93" t="s">
        <v>39</v>
      </c>
      <c r="B1142" s="31">
        <f>COUNTIFS(DATA!$AN$3:$AN$7183,"4",DATA!$D$3:$D$7183,260)</f>
        <v>9</v>
      </c>
      <c r="C1142" s="35">
        <f>IF(B1143=0,0,+B1142/B1143)</f>
        <v>0.1</v>
      </c>
      <c r="D1142" s="42">
        <f>COUNTIFS(DATA!$AN$3:$AN$7183,"4",DATA!$D$3:$D$7183,280)</f>
        <v>7</v>
      </c>
      <c r="E1142" s="35">
        <f>+D1142/D1143</f>
        <v>0.20588235294117646</v>
      </c>
      <c r="F1142" s="42">
        <f t="shared" si="124"/>
        <v>16</v>
      </c>
      <c r="G1142" s="35">
        <f>+F1142/F1143</f>
        <v>0.12903225806451613</v>
      </c>
      <c r="H1142" s="181">
        <v>0.15942028985507245</v>
      </c>
      <c r="I1142" s="180">
        <v>0.11904761904761904</v>
      </c>
      <c r="J1142" s="182">
        <v>0.14414414414414414</v>
      </c>
      <c r="K1142" s="181">
        <v>0.14606741573033707</v>
      </c>
      <c r="L1142" s="180">
        <v>0.25454545454545452</v>
      </c>
      <c r="M1142" s="182">
        <v>0.1875</v>
      </c>
      <c r="N1142" s="181">
        <v>9.5541401273885357E-2</v>
      </c>
      <c r="O1142" s="180">
        <v>0.13580246913580246</v>
      </c>
      <c r="P1142" s="182">
        <v>0.1092436974789916</v>
      </c>
      <c r="Q1142" s="181">
        <v>0.16</v>
      </c>
      <c r="R1142" s="180">
        <v>0.24</v>
      </c>
      <c r="S1142" s="182">
        <v>0.2</v>
      </c>
      <c r="T1142" s="181">
        <v>0.16</v>
      </c>
      <c r="U1142" s="180">
        <v>9.45945945945946E-2</v>
      </c>
      <c r="V1142" s="182">
        <v>0.135678391959799</v>
      </c>
      <c r="W1142" s="181">
        <v>0.1640625</v>
      </c>
      <c r="X1142" s="180">
        <v>9.6385542168674704E-2</v>
      </c>
      <c r="Y1142" s="182">
        <v>0.13744075829383887</v>
      </c>
      <c r="Z1142" s="181">
        <v>0.11188811188811189</v>
      </c>
      <c r="AA1142" s="180">
        <v>0.13793103448275862</v>
      </c>
      <c r="AB1142" s="182">
        <v>0.11940298507462686</v>
      </c>
      <c r="AC1142" s="74"/>
      <c r="AF1142" s="162"/>
    </row>
    <row r="1143" spans="1:32" s="41" customFormat="1" ht="15.75" thickBot="1" x14ac:dyDescent="0.3">
      <c r="A1143" s="111" t="s">
        <v>16</v>
      </c>
      <c r="B1143" s="101">
        <f>SUM(B1139:B1142)</f>
        <v>90</v>
      </c>
      <c r="C1143" s="114">
        <f>IF(B1143=0,0,+B1143/B1143)</f>
        <v>1</v>
      </c>
      <c r="D1143" s="101">
        <f>SUM(D1139:D1142)</f>
        <v>34</v>
      </c>
      <c r="E1143" s="114">
        <f>+D1143/D1143</f>
        <v>1</v>
      </c>
      <c r="F1143" s="101">
        <f>SUM(F1139:F1142)</f>
        <v>124</v>
      </c>
      <c r="G1143" s="114">
        <f>+F1143/F1143</f>
        <v>1</v>
      </c>
      <c r="H1143" s="183">
        <v>1</v>
      </c>
      <c r="I1143" s="184">
        <v>1</v>
      </c>
      <c r="J1143" s="185">
        <v>1</v>
      </c>
      <c r="K1143" s="183">
        <v>1</v>
      </c>
      <c r="L1143" s="184">
        <v>1</v>
      </c>
      <c r="M1143" s="185">
        <v>1</v>
      </c>
      <c r="N1143" s="183">
        <v>1</v>
      </c>
      <c r="O1143" s="184">
        <v>1</v>
      </c>
      <c r="P1143" s="185">
        <v>1</v>
      </c>
      <c r="Q1143" s="183">
        <v>1</v>
      </c>
      <c r="R1143" s="184">
        <v>1</v>
      </c>
      <c r="S1143" s="185">
        <v>1</v>
      </c>
      <c r="T1143" s="183">
        <v>1</v>
      </c>
      <c r="U1143" s="184">
        <v>1</v>
      </c>
      <c r="V1143" s="185">
        <v>1</v>
      </c>
      <c r="W1143" s="183">
        <v>1</v>
      </c>
      <c r="X1143" s="184">
        <v>1</v>
      </c>
      <c r="Y1143" s="185">
        <v>1</v>
      </c>
      <c r="Z1143" s="183">
        <v>1</v>
      </c>
      <c r="AA1143" s="184">
        <v>1</v>
      </c>
      <c r="AB1143" s="185">
        <v>1</v>
      </c>
      <c r="AF1143" s="162"/>
    </row>
    <row r="1144" spans="1:32" s="41" customFormat="1" x14ac:dyDescent="0.2">
      <c r="N1144" s="162"/>
    </row>
    <row r="1145" spans="1:32" s="41" customFormat="1" x14ac:dyDescent="0.2">
      <c r="N1145" s="162"/>
    </row>
    <row r="1146" spans="1:32" s="41" customFormat="1" ht="14.25" customHeight="1" x14ac:dyDescent="0.2">
      <c r="K1146" s="213" t="s">
        <v>176</v>
      </c>
      <c r="L1146" s="213"/>
      <c r="M1146" s="213"/>
      <c r="N1146" s="213"/>
      <c r="O1146" s="213"/>
      <c r="P1146" s="213"/>
      <c r="Q1146" s="213"/>
      <c r="R1146" s="213"/>
    </row>
    <row r="1147" spans="1:32" s="41" customFormat="1" x14ac:dyDescent="0.2">
      <c r="K1147" s="213"/>
      <c r="L1147" s="213"/>
      <c r="M1147" s="213"/>
      <c r="N1147" s="213"/>
      <c r="O1147" s="213"/>
      <c r="P1147" s="213"/>
      <c r="Q1147" s="213"/>
      <c r="R1147" s="213"/>
    </row>
    <row r="1148" spans="1:32" s="41" customFormat="1" ht="14.25" customHeight="1" x14ac:dyDescent="0.2">
      <c r="K1148" s="219" t="s">
        <v>7183</v>
      </c>
      <c r="L1148" s="219"/>
      <c r="M1148" s="219"/>
      <c r="N1148" s="219"/>
      <c r="O1148" s="219"/>
      <c r="P1148" s="219"/>
      <c r="Q1148" s="219"/>
      <c r="R1148" s="219"/>
    </row>
    <row r="1149" spans="1:32" s="41" customFormat="1" x14ac:dyDescent="0.2">
      <c r="K1149" s="219"/>
      <c r="L1149" s="219"/>
      <c r="M1149" s="219"/>
      <c r="N1149" s="219"/>
      <c r="O1149" s="219"/>
      <c r="P1149" s="219"/>
      <c r="Q1149" s="219"/>
      <c r="R1149" s="219"/>
    </row>
    <row r="1150" spans="1:32" s="41" customFormat="1" ht="14.25" customHeight="1" x14ac:dyDescent="0.2">
      <c r="K1150" s="215" t="s">
        <v>7184</v>
      </c>
      <c r="L1150" s="215"/>
      <c r="M1150" s="215"/>
      <c r="N1150" s="215"/>
      <c r="O1150" s="215"/>
      <c r="P1150" s="215"/>
      <c r="Q1150" s="215"/>
      <c r="R1150" s="215"/>
    </row>
    <row r="1151" spans="1:32" s="41" customFormat="1" x14ac:dyDescent="0.2">
      <c r="K1151" s="215"/>
      <c r="L1151" s="215"/>
      <c r="M1151" s="215"/>
      <c r="N1151" s="215"/>
      <c r="O1151" s="215"/>
      <c r="P1151" s="215"/>
      <c r="Q1151" s="215"/>
      <c r="R1151" s="215"/>
    </row>
    <row r="1152" spans="1:32" s="41" customFormat="1" x14ac:dyDescent="0.2">
      <c r="N1152" s="162"/>
    </row>
    <row r="1153" spans="14:14" s="41" customFormat="1" x14ac:dyDescent="0.2">
      <c r="N1153" s="162"/>
    </row>
    <row r="1154" spans="14:14" s="41" customFormat="1" x14ac:dyDescent="0.2">
      <c r="N1154" s="162"/>
    </row>
    <row r="1155" spans="14:14" s="41" customFormat="1" x14ac:dyDescent="0.2">
      <c r="N1155" s="162"/>
    </row>
    <row r="1156" spans="14:14" s="41" customFormat="1" x14ac:dyDescent="0.2">
      <c r="N1156" s="162"/>
    </row>
    <row r="1157" spans="14:14" s="41" customFormat="1" x14ac:dyDescent="0.2">
      <c r="N1157" s="162"/>
    </row>
    <row r="1158" spans="14:14" s="41" customFormat="1" x14ac:dyDescent="0.2">
      <c r="N1158" s="162"/>
    </row>
    <row r="1159" spans="14:14" s="41" customFormat="1" x14ac:dyDescent="0.2">
      <c r="N1159" s="162"/>
    </row>
    <row r="1160" spans="14:14" s="41" customFormat="1" x14ac:dyDescent="0.2">
      <c r="N1160" s="162"/>
    </row>
    <row r="1161" spans="14:14" s="41" customFormat="1" x14ac:dyDescent="0.2">
      <c r="N1161" s="162"/>
    </row>
    <row r="1162" spans="14:14" s="41" customFormat="1" x14ac:dyDescent="0.2">
      <c r="N1162" s="162"/>
    </row>
    <row r="1163" spans="14:14" s="41" customFormat="1" x14ac:dyDescent="0.2">
      <c r="N1163" s="162"/>
    </row>
    <row r="1164" spans="14:14" s="41" customFormat="1" x14ac:dyDescent="0.2">
      <c r="N1164" s="162"/>
    </row>
    <row r="1165" spans="14:14" s="41" customFormat="1" x14ac:dyDescent="0.2">
      <c r="N1165" s="162"/>
    </row>
    <row r="1166" spans="14:14" s="41" customFormat="1" x14ac:dyDescent="0.2">
      <c r="N1166" s="162"/>
    </row>
    <row r="1167" spans="14:14" s="41" customFormat="1" x14ac:dyDescent="0.2">
      <c r="N1167" s="162"/>
    </row>
    <row r="1168" spans="14:14" s="41" customFormat="1" x14ac:dyDescent="0.2">
      <c r="N1168" s="162"/>
    </row>
    <row r="1169" spans="1:36" s="41" customFormat="1" x14ac:dyDescent="0.2">
      <c r="N1169" s="162"/>
    </row>
    <row r="1170" spans="1:36" s="41" customFormat="1" ht="15" thickBot="1" x14ac:dyDescent="0.25">
      <c r="N1170" s="162"/>
    </row>
    <row r="1171" spans="1:36" s="41" customFormat="1" ht="42" customHeight="1" thickBot="1" x14ac:dyDescent="0.25">
      <c r="A1171" s="240" t="s">
        <v>164</v>
      </c>
      <c r="B1171" s="241"/>
      <c r="C1171" s="241"/>
      <c r="D1171" s="241"/>
      <c r="E1171" s="241"/>
      <c r="F1171" s="241"/>
      <c r="G1171" s="242"/>
      <c r="H1171" s="74"/>
      <c r="I1171" s="74"/>
      <c r="J1171" s="74"/>
      <c r="K1171" s="74"/>
      <c r="N1171" s="162"/>
    </row>
    <row r="1172" spans="1:36" s="41" customFormat="1" ht="15.75" thickBot="1" x14ac:dyDescent="0.3">
      <c r="A1172" s="28"/>
      <c r="B1172" s="234" t="str">
        <f>+B73</f>
        <v>Successful</v>
      </c>
      <c r="C1172" s="235"/>
      <c r="D1172" s="236" t="str">
        <f>+D73</f>
        <v>Unsuccessful</v>
      </c>
      <c r="E1172" s="237"/>
      <c r="F1172" s="238" t="s">
        <v>16</v>
      </c>
      <c r="G1172" s="239"/>
      <c r="H1172" s="206">
        <f>+H73</f>
        <v>2021</v>
      </c>
      <c r="I1172" s="207"/>
      <c r="J1172" s="208"/>
      <c r="K1172" s="206">
        <f>+K73</f>
        <v>2020</v>
      </c>
      <c r="L1172" s="207"/>
      <c r="M1172" s="208"/>
      <c r="N1172" s="206">
        <f>+N73</f>
        <v>2019</v>
      </c>
      <c r="O1172" s="207"/>
      <c r="P1172" s="208"/>
      <c r="Q1172" s="206">
        <f>+Q73</f>
        <v>2018</v>
      </c>
      <c r="R1172" s="207"/>
      <c r="S1172" s="208"/>
      <c r="T1172" s="206">
        <f>+T73</f>
        <v>2017</v>
      </c>
      <c r="U1172" s="207"/>
      <c r="V1172" s="208"/>
      <c r="W1172" s="209">
        <f>+W73</f>
        <v>2016</v>
      </c>
      <c r="X1172" s="210"/>
      <c r="Y1172" s="211"/>
      <c r="Z1172" s="209">
        <f>+Z73</f>
        <v>2015</v>
      </c>
      <c r="AA1172" s="210"/>
      <c r="AB1172" s="211"/>
      <c r="AC1172" s="165"/>
      <c r="AF1172" s="162"/>
    </row>
    <row r="1173" spans="1:36" s="41" customFormat="1" ht="29.25" customHeight="1" thickBot="1" x14ac:dyDescent="0.25">
      <c r="A1173" s="28"/>
      <c r="B1173" s="29" t="s">
        <v>37</v>
      </c>
      <c r="C1173" s="30" t="s">
        <v>38</v>
      </c>
      <c r="D1173" s="29" t="s">
        <v>37</v>
      </c>
      <c r="E1173" s="30" t="s">
        <v>38</v>
      </c>
      <c r="F1173" s="29" t="s">
        <v>37</v>
      </c>
      <c r="G1173" s="30" t="s">
        <v>38</v>
      </c>
      <c r="H1173" s="186" t="s">
        <v>132</v>
      </c>
      <c r="I1173" s="187" t="s">
        <v>133</v>
      </c>
      <c r="J1173" s="44" t="s">
        <v>16</v>
      </c>
      <c r="K1173" s="186" t="s">
        <v>132</v>
      </c>
      <c r="L1173" s="187" t="s">
        <v>133</v>
      </c>
      <c r="M1173" s="44" t="s">
        <v>16</v>
      </c>
      <c r="N1173" s="186" t="s">
        <v>132</v>
      </c>
      <c r="O1173" s="187" t="s">
        <v>133</v>
      </c>
      <c r="P1173" s="44" t="s">
        <v>16</v>
      </c>
      <c r="Q1173" s="186" t="s">
        <v>132</v>
      </c>
      <c r="R1173" s="187" t="s">
        <v>133</v>
      </c>
      <c r="S1173" s="44" t="s">
        <v>16</v>
      </c>
      <c r="T1173" s="186" t="s">
        <v>132</v>
      </c>
      <c r="U1173" s="187" t="s">
        <v>133</v>
      </c>
      <c r="V1173" s="44" t="s">
        <v>16</v>
      </c>
      <c r="W1173" s="186" t="s">
        <v>132</v>
      </c>
      <c r="X1173" s="187" t="s">
        <v>133</v>
      </c>
      <c r="Y1173" s="44" t="s">
        <v>16</v>
      </c>
      <c r="Z1173" s="186" t="s">
        <v>132</v>
      </c>
      <c r="AA1173" s="187" t="s">
        <v>133</v>
      </c>
      <c r="AB1173" s="44" t="s">
        <v>16</v>
      </c>
    </row>
    <row r="1174" spans="1:36" s="41" customFormat="1" x14ac:dyDescent="0.2">
      <c r="A1174" s="98" t="s">
        <v>134</v>
      </c>
      <c r="B1174" s="31">
        <f>COUNTIFS(DATA!$AO$3:$AO$7183,1,DATA!$D$3:$D$7183,260)</f>
        <v>49</v>
      </c>
      <c r="C1174" s="35">
        <f>IF(B1178=0,0,+B1174/B1178)</f>
        <v>0.5444444444444444</v>
      </c>
      <c r="D1174" s="31">
        <f>COUNTIFS(DATA!$AO$3:$AO$7183,1,DATA!$D$3:$D$7183,280)</f>
        <v>14</v>
      </c>
      <c r="E1174" s="35">
        <f>+D1174/D1178</f>
        <v>0.41176470588235292</v>
      </c>
      <c r="F1174" s="31">
        <f>+D1174+B1174</f>
        <v>63</v>
      </c>
      <c r="G1174" s="35">
        <f>+F1174/F1178</f>
        <v>0.50806451612903225</v>
      </c>
      <c r="H1174" s="181">
        <v>0.56521739130434778</v>
      </c>
      <c r="I1174" s="180">
        <v>0.35714285714285715</v>
      </c>
      <c r="J1174" s="182">
        <v>0.48648648648648651</v>
      </c>
      <c r="K1174" s="181">
        <v>0.5955056179775281</v>
      </c>
      <c r="L1174" s="180">
        <v>0.47272727272727272</v>
      </c>
      <c r="M1174" s="182">
        <v>0.54861111111111116</v>
      </c>
      <c r="N1174" s="181">
        <v>0.56687898089171973</v>
      </c>
      <c r="O1174" s="180">
        <v>0.43209876543209874</v>
      </c>
      <c r="P1174" s="182">
        <v>0.52100840336134457</v>
      </c>
      <c r="Q1174" s="181">
        <v>0.53</v>
      </c>
      <c r="R1174" s="180">
        <v>0.38</v>
      </c>
      <c r="S1174" s="182">
        <v>0.47</v>
      </c>
      <c r="T1174" s="181">
        <v>0.51200000000000001</v>
      </c>
      <c r="U1174" s="180">
        <v>0.3783783783783784</v>
      </c>
      <c r="V1174" s="182">
        <v>0.46231155778894473</v>
      </c>
      <c r="W1174" s="181">
        <v>0.5234375</v>
      </c>
      <c r="X1174" s="180">
        <v>0.49397590361445781</v>
      </c>
      <c r="Y1174" s="182">
        <v>0.51184834123222744</v>
      </c>
      <c r="Z1174" s="181">
        <v>0.46853146853146854</v>
      </c>
      <c r="AA1174" s="180">
        <v>0.32758620689655171</v>
      </c>
      <c r="AB1174" s="182">
        <v>0.43005181347150256</v>
      </c>
      <c r="AC1174" s="164"/>
      <c r="AD1174" s="164"/>
      <c r="AE1174" s="164"/>
      <c r="AF1174" s="163"/>
      <c r="AG1174" s="163"/>
      <c r="AH1174" s="162"/>
      <c r="AI1174" s="162"/>
      <c r="AJ1174" s="162"/>
    </row>
    <row r="1175" spans="1:36" s="41" customFormat="1" ht="27.75" customHeight="1" x14ac:dyDescent="0.2">
      <c r="A1175" s="99" t="s">
        <v>135</v>
      </c>
      <c r="B1175" s="31">
        <f>COUNTIFS(DATA!$AO$3:$AO$7183,2,DATA!$D$3:$D$7183,260)</f>
        <v>8</v>
      </c>
      <c r="C1175" s="35">
        <f>IF(B1178=0,0,+B1175/B1178)</f>
        <v>8.8888888888888892E-2</v>
      </c>
      <c r="D1175" s="42">
        <f>COUNTIFS(DATA!$AO$3:$AO$7183,2,DATA!$D$3:$D$7183,280)</f>
        <v>8</v>
      </c>
      <c r="E1175" s="35">
        <f>+D1175/D1178</f>
        <v>0.23529411764705882</v>
      </c>
      <c r="F1175" s="42">
        <f t="shared" ref="F1175:F1177" si="125">+D1175+B1175</f>
        <v>16</v>
      </c>
      <c r="G1175" s="35">
        <f>+F1175/F1178</f>
        <v>0.12903225806451613</v>
      </c>
      <c r="H1175" s="181">
        <v>0.17391304347826086</v>
      </c>
      <c r="I1175" s="180">
        <v>0.35714285714285715</v>
      </c>
      <c r="J1175" s="182">
        <v>0.24324324324324326</v>
      </c>
      <c r="K1175" s="181">
        <v>0.11235955056179775</v>
      </c>
      <c r="L1175" s="180">
        <v>0.14545454545454545</v>
      </c>
      <c r="M1175" s="182">
        <v>0.125</v>
      </c>
      <c r="N1175" s="181">
        <v>0.10191082802547771</v>
      </c>
      <c r="O1175" s="180">
        <v>0.29629629629629628</v>
      </c>
      <c r="P1175" s="182">
        <v>0.16806722689075632</v>
      </c>
      <c r="Q1175" s="181">
        <v>0.12</v>
      </c>
      <c r="R1175" s="180">
        <v>0.21</v>
      </c>
      <c r="S1175" s="182">
        <v>0.16</v>
      </c>
      <c r="T1175" s="181">
        <v>0.17599999999999999</v>
      </c>
      <c r="U1175" s="180">
        <v>0.3108108108108108</v>
      </c>
      <c r="V1175" s="182">
        <v>0.22613065326633167</v>
      </c>
      <c r="W1175" s="181">
        <v>0.1171875</v>
      </c>
      <c r="X1175" s="180">
        <v>0.28915662650602408</v>
      </c>
      <c r="Y1175" s="182">
        <v>0.18483412322274881</v>
      </c>
      <c r="Z1175" s="181">
        <v>0.14685314685314685</v>
      </c>
      <c r="AA1175" s="180">
        <v>0.36206896551724138</v>
      </c>
      <c r="AB1175" s="182">
        <v>0.21</v>
      </c>
    </row>
    <row r="1176" spans="1:36" s="41" customFormat="1" ht="27.75" customHeight="1" x14ac:dyDescent="0.2">
      <c r="A1176" s="92" t="s">
        <v>94</v>
      </c>
      <c r="B1176" s="31">
        <f>COUNTIFS(DATA!$AO$3:$AO$7183,"3",DATA!$D$3:$D$7183,260)</f>
        <v>23</v>
      </c>
      <c r="C1176" s="35">
        <f>IF(B1178=0,0,+B1176/B1178)</f>
        <v>0.25555555555555554</v>
      </c>
      <c r="D1176" s="42">
        <f>COUNTIFS(DATA!$AO$3:$AO$7183,"3",DATA!$D$3:$D$7183,280)</f>
        <v>5</v>
      </c>
      <c r="E1176" s="35">
        <f>+D1176/D1178</f>
        <v>0.14705882352941177</v>
      </c>
      <c r="F1176" s="42">
        <f t="shared" si="125"/>
        <v>28</v>
      </c>
      <c r="G1176" s="35">
        <f>+F1176/F1178</f>
        <v>0.22580645161290322</v>
      </c>
      <c r="H1176" s="181">
        <v>0.10144927536231885</v>
      </c>
      <c r="I1176" s="180">
        <v>0.11904761904761904</v>
      </c>
      <c r="J1176" s="182">
        <v>0.10810810810810811</v>
      </c>
      <c r="K1176" s="181">
        <v>0.14606741573033707</v>
      </c>
      <c r="L1176" s="180">
        <v>0.12727272727272726</v>
      </c>
      <c r="M1176" s="182">
        <v>0.1388888888888889</v>
      </c>
      <c r="N1176" s="181">
        <v>0.22929936305732485</v>
      </c>
      <c r="O1176" s="180">
        <v>0.13580246913580246</v>
      </c>
      <c r="P1176" s="182">
        <v>0.19747899159663865</v>
      </c>
      <c r="Q1176" s="181">
        <v>0.2</v>
      </c>
      <c r="R1176" s="180">
        <v>0.16</v>
      </c>
      <c r="S1176" s="182">
        <v>0.18</v>
      </c>
      <c r="T1176" s="181">
        <v>0.152</v>
      </c>
      <c r="U1176" s="180">
        <v>0.21621621621621623</v>
      </c>
      <c r="V1176" s="182">
        <v>0.17587939698492464</v>
      </c>
      <c r="W1176" s="181">
        <v>0.1953125</v>
      </c>
      <c r="X1176" s="180">
        <v>0.10843373493975904</v>
      </c>
      <c r="Y1176" s="182">
        <v>0.16113744075829384</v>
      </c>
      <c r="Z1176" s="181">
        <v>0.27272727272727271</v>
      </c>
      <c r="AA1176" s="180">
        <v>0.17241379310344829</v>
      </c>
      <c r="AB1176" s="182">
        <v>0.24</v>
      </c>
    </row>
    <row r="1177" spans="1:36" s="41" customFormat="1" ht="15" thickBot="1" x14ac:dyDescent="0.25">
      <c r="A1177" s="93" t="s">
        <v>39</v>
      </c>
      <c r="B1177" s="31">
        <f>COUNTIFS(DATA!$AO$3:$AO$7183,"4",DATA!$D$3:$D$7183,260)</f>
        <v>10</v>
      </c>
      <c r="C1177" s="35">
        <f>IF(B1178=0,0,+B1177/B1178)</f>
        <v>0.1111111111111111</v>
      </c>
      <c r="D1177" s="42">
        <f>COUNTIFS(DATA!$AO$3:$AO$7183,"4",DATA!$D$3:$D$7183,280)</f>
        <v>7</v>
      </c>
      <c r="E1177" s="35">
        <f>+D1177/D1178</f>
        <v>0.20588235294117646</v>
      </c>
      <c r="F1177" s="42">
        <f t="shared" si="125"/>
        <v>17</v>
      </c>
      <c r="G1177" s="35">
        <f>+F1177/F1178</f>
        <v>0.13709677419354838</v>
      </c>
      <c r="H1177" s="181">
        <v>0.15942028985507245</v>
      </c>
      <c r="I1177" s="180">
        <v>0.16666666666666666</v>
      </c>
      <c r="J1177" s="182">
        <v>0.16216216216216217</v>
      </c>
      <c r="K1177" s="181">
        <v>0.14606741573033707</v>
      </c>
      <c r="L1177" s="180">
        <v>0.25454545454545452</v>
      </c>
      <c r="M1177" s="182">
        <v>0.1875</v>
      </c>
      <c r="N1177" s="181">
        <v>0.10191082802547771</v>
      </c>
      <c r="O1177" s="180">
        <v>0.13580246913580246</v>
      </c>
      <c r="P1177" s="182">
        <v>0.1134453781512605</v>
      </c>
      <c r="Q1177" s="181">
        <v>0.16</v>
      </c>
      <c r="R1177" s="180">
        <v>0.26</v>
      </c>
      <c r="S1177" s="182">
        <v>0.2</v>
      </c>
      <c r="T1177" s="181">
        <v>0.16</v>
      </c>
      <c r="U1177" s="180">
        <v>9.45945945945946E-2</v>
      </c>
      <c r="V1177" s="182">
        <v>0.135678391959799</v>
      </c>
      <c r="W1177" s="181">
        <v>0.1640625</v>
      </c>
      <c r="X1177" s="180">
        <v>0.10843373493975904</v>
      </c>
      <c r="Y1177" s="182">
        <v>0.14218009478672985</v>
      </c>
      <c r="Z1177" s="181">
        <v>0.11188811188811189</v>
      </c>
      <c r="AA1177" s="180">
        <v>0.13793103448275862</v>
      </c>
      <c r="AB1177" s="182">
        <v>0.12</v>
      </c>
      <c r="AC1177" s="74"/>
      <c r="AF1177" s="162"/>
    </row>
    <row r="1178" spans="1:36" s="41" customFormat="1" ht="15.75" thickBot="1" x14ac:dyDescent="0.3">
      <c r="A1178" s="111" t="s">
        <v>16</v>
      </c>
      <c r="B1178" s="101">
        <f>SUM(B1174:B1177)</f>
        <v>90</v>
      </c>
      <c r="C1178" s="114">
        <f>IF(B1178=0,0,+B1178/B1178)</f>
        <v>1</v>
      </c>
      <c r="D1178" s="101">
        <f>SUM(D1174:D1177)</f>
        <v>34</v>
      </c>
      <c r="E1178" s="114">
        <f>+D1178/D1178</f>
        <v>1</v>
      </c>
      <c r="F1178" s="101">
        <f>SUM(F1174:F1177)</f>
        <v>124</v>
      </c>
      <c r="G1178" s="114">
        <f>+F1178/F1178</f>
        <v>1</v>
      </c>
      <c r="H1178" s="183">
        <v>1</v>
      </c>
      <c r="I1178" s="184">
        <v>1</v>
      </c>
      <c r="J1178" s="185">
        <v>1</v>
      </c>
      <c r="K1178" s="183">
        <v>1</v>
      </c>
      <c r="L1178" s="184">
        <v>1</v>
      </c>
      <c r="M1178" s="185">
        <v>1</v>
      </c>
      <c r="N1178" s="183">
        <v>1</v>
      </c>
      <c r="O1178" s="184">
        <v>1</v>
      </c>
      <c r="P1178" s="185">
        <v>1</v>
      </c>
      <c r="Q1178" s="183">
        <v>1</v>
      </c>
      <c r="R1178" s="184">
        <v>1</v>
      </c>
      <c r="S1178" s="185">
        <v>1</v>
      </c>
      <c r="T1178" s="183">
        <v>1</v>
      </c>
      <c r="U1178" s="184">
        <v>1</v>
      </c>
      <c r="V1178" s="185">
        <v>1</v>
      </c>
      <c r="W1178" s="183">
        <v>1</v>
      </c>
      <c r="X1178" s="184">
        <v>1</v>
      </c>
      <c r="Y1178" s="185">
        <v>1</v>
      </c>
      <c r="Z1178" s="183">
        <v>1</v>
      </c>
      <c r="AA1178" s="184">
        <v>1</v>
      </c>
      <c r="AB1178" s="185">
        <v>1</v>
      </c>
      <c r="AF1178" s="162"/>
    </row>
    <row r="1179" spans="1:36" s="41" customFormat="1" x14ac:dyDescent="0.2">
      <c r="N1179" s="162"/>
    </row>
    <row r="1180" spans="1:36" s="41" customFormat="1" x14ac:dyDescent="0.2">
      <c r="N1180" s="162"/>
    </row>
    <row r="1181" spans="1:36" s="41" customFormat="1" ht="14.25" customHeight="1" x14ac:dyDescent="0.2">
      <c r="K1181" s="213" t="s">
        <v>176</v>
      </c>
      <c r="L1181" s="213"/>
      <c r="M1181" s="213"/>
      <c r="N1181" s="213"/>
      <c r="O1181" s="213"/>
      <c r="P1181" s="213"/>
      <c r="Q1181" s="213"/>
      <c r="R1181" s="213"/>
    </row>
    <row r="1182" spans="1:36" s="41" customFormat="1" x14ac:dyDescent="0.2">
      <c r="K1182" s="213"/>
      <c r="L1182" s="213"/>
      <c r="M1182" s="213"/>
      <c r="N1182" s="213"/>
      <c r="O1182" s="213"/>
      <c r="P1182" s="213"/>
      <c r="Q1182" s="213"/>
      <c r="R1182" s="213"/>
    </row>
    <row r="1183" spans="1:36" s="41" customFormat="1" ht="14.25" customHeight="1" x14ac:dyDescent="0.2">
      <c r="K1183" s="219" t="s">
        <v>7185</v>
      </c>
      <c r="L1183" s="219"/>
      <c r="M1183" s="219"/>
      <c r="N1183" s="219"/>
      <c r="O1183" s="219"/>
      <c r="P1183" s="219"/>
      <c r="Q1183" s="219"/>
      <c r="R1183" s="219"/>
    </row>
    <row r="1184" spans="1:36" s="41" customFormat="1" x14ac:dyDescent="0.2">
      <c r="K1184" s="219"/>
      <c r="L1184" s="219"/>
      <c r="M1184" s="219"/>
      <c r="N1184" s="219"/>
      <c r="O1184" s="219"/>
      <c r="P1184" s="219"/>
      <c r="Q1184" s="219"/>
      <c r="R1184" s="219"/>
    </row>
    <row r="1185" spans="11:18" s="41" customFormat="1" ht="14.25" customHeight="1" x14ac:dyDescent="0.2">
      <c r="K1185" s="215" t="s">
        <v>7186</v>
      </c>
      <c r="L1185" s="215"/>
      <c r="M1185" s="215"/>
      <c r="N1185" s="215"/>
      <c r="O1185" s="215"/>
      <c r="P1185" s="215"/>
      <c r="Q1185" s="215"/>
      <c r="R1185" s="215"/>
    </row>
    <row r="1186" spans="11:18" s="41" customFormat="1" x14ac:dyDescent="0.2">
      <c r="K1186" s="215"/>
      <c r="L1186" s="215"/>
      <c r="M1186" s="215"/>
      <c r="N1186" s="215"/>
      <c r="O1186" s="215"/>
      <c r="P1186" s="215"/>
      <c r="Q1186" s="215"/>
      <c r="R1186" s="215"/>
    </row>
    <row r="1187" spans="11:18" s="41" customFormat="1" x14ac:dyDescent="0.2">
      <c r="N1187" s="162"/>
    </row>
    <row r="1188" spans="11:18" s="41" customFormat="1" x14ac:dyDescent="0.2">
      <c r="N1188" s="162"/>
    </row>
    <row r="1189" spans="11:18" s="41" customFormat="1" x14ac:dyDescent="0.2">
      <c r="N1189" s="162"/>
    </row>
    <row r="1190" spans="11:18" s="41" customFormat="1" x14ac:dyDescent="0.2">
      <c r="N1190" s="162"/>
    </row>
    <row r="1191" spans="11:18" s="41" customFormat="1" x14ac:dyDescent="0.2">
      <c r="N1191" s="162"/>
    </row>
    <row r="1192" spans="11:18" s="41" customFormat="1" x14ac:dyDescent="0.2">
      <c r="N1192" s="162"/>
    </row>
    <row r="1193" spans="11:18" s="41" customFormat="1" x14ac:dyDescent="0.2">
      <c r="N1193" s="162"/>
    </row>
    <row r="1194" spans="11:18" s="41" customFormat="1" x14ac:dyDescent="0.2">
      <c r="N1194" s="162"/>
    </row>
    <row r="1195" spans="11:18" s="41" customFormat="1" x14ac:dyDescent="0.2">
      <c r="N1195" s="162"/>
    </row>
    <row r="1196" spans="11:18" s="41" customFormat="1" x14ac:dyDescent="0.2">
      <c r="N1196" s="162"/>
    </row>
    <row r="1197" spans="11:18" s="41" customFormat="1" x14ac:dyDescent="0.2">
      <c r="N1197" s="162"/>
    </row>
    <row r="1198" spans="11:18" s="41" customFormat="1" x14ac:dyDescent="0.2">
      <c r="N1198" s="162"/>
    </row>
    <row r="1199" spans="11:18" s="41" customFormat="1" x14ac:dyDescent="0.2">
      <c r="N1199" s="162"/>
    </row>
    <row r="1200" spans="11:18" s="41" customFormat="1" x14ac:dyDescent="0.2">
      <c r="N1200" s="162"/>
    </row>
    <row r="1201" spans="1:33" s="41" customFormat="1" x14ac:dyDescent="0.2">
      <c r="N1201" s="162"/>
    </row>
    <row r="1202" spans="1:33" s="41" customFormat="1" x14ac:dyDescent="0.2">
      <c r="N1202" s="162"/>
    </row>
    <row r="1203" spans="1:33" s="41" customFormat="1" x14ac:dyDescent="0.2">
      <c r="N1203" s="162"/>
    </row>
    <row r="1204" spans="1:33" s="41" customFormat="1" x14ac:dyDescent="0.2">
      <c r="N1204" s="162"/>
    </row>
    <row r="1205" spans="1:33" s="41" customFormat="1" ht="15" thickBot="1" x14ac:dyDescent="0.25">
      <c r="N1205" s="162"/>
    </row>
    <row r="1206" spans="1:33" s="41" customFormat="1" ht="42" customHeight="1" thickBot="1" x14ac:dyDescent="0.25">
      <c r="A1206" s="240" t="s">
        <v>165</v>
      </c>
      <c r="B1206" s="241"/>
      <c r="C1206" s="241"/>
      <c r="D1206" s="241"/>
      <c r="E1206" s="241"/>
      <c r="F1206" s="241"/>
      <c r="G1206" s="242"/>
      <c r="N1206" s="162"/>
    </row>
    <row r="1207" spans="1:33" s="41" customFormat="1" ht="15.75" thickBot="1" x14ac:dyDescent="0.3">
      <c r="A1207" s="28"/>
      <c r="B1207" s="234" t="str">
        <f>+B73</f>
        <v>Successful</v>
      </c>
      <c r="C1207" s="235"/>
      <c r="D1207" s="236" t="str">
        <f>+D73</f>
        <v>Unsuccessful</v>
      </c>
      <c r="E1207" s="237"/>
      <c r="F1207" s="238" t="s">
        <v>16</v>
      </c>
      <c r="G1207" s="239"/>
      <c r="H1207" s="206">
        <f>+H73</f>
        <v>2021</v>
      </c>
      <c r="I1207" s="207"/>
      <c r="J1207" s="208"/>
      <c r="K1207" s="206">
        <f>+K73</f>
        <v>2020</v>
      </c>
      <c r="L1207" s="207"/>
      <c r="M1207" s="208"/>
      <c r="N1207" s="206">
        <f>+N73</f>
        <v>2019</v>
      </c>
      <c r="O1207" s="207"/>
      <c r="P1207" s="208"/>
      <c r="Q1207" s="206">
        <f>+Q73</f>
        <v>2018</v>
      </c>
      <c r="R1207" s="207"/>
      <c r="S1207" s="208"/>
      <c r="T1207" s="206">
        <f>+T73</f>
        <v>2017</v>
      </c>
      <c r="U1207" s="207"/>
      <c r="V1207" s="208"/>
      <c r="W1207" s="209">
        <f>+W73</f>
        <v>2016</v>
      </c>
      <c r="X1207" s="210"/>
      <c r="Y1207" s="211"/>
      <c r="Z1207" s="209">
        <f>+Z73</f>
        <v>2015</v>
      </c>
      <c r="AA1207" s="210"/>
      <c r="AB1207" s="211"/>
      <c r="AC1207" s="165"/>
      <c r="AD1207" s="146"/>
      <c r="AE1207" s="146"/>
      <c r="AF1207" s="162"/>
      <c r="AG1207" s="146"/>
    </row>
    <row r="1208" spans="1:33" s="41" customFormat="1" ht="29.25" customHeight="1" thickBot="1" x14ac:dyDescent="0.25">
      <c r="A1208" s="28"/>
      <c r="B1208" s="29" t="s">
        <v>37</v>
      </c>
      <c r="C1208" s="30" t="s">
        <v>38</v>
      </c>
      <c r="D1208" s="29" t="s">
        <v>37</v>
      </c>
      <c r="E1208" s="30" t="s">
        <v>38</v>
      </c>
      <c r="F1208" s="29" t="s">
        <v>37</v>
      </c>
      <c r="G1208" s="30" t="s">
        <v>38</v>
      </c>
      <c r="H1208" s="186" t="s">
        <v>132</v>
      </c>
      <c r="I1208" s="187" t="s">
        <v>133</v>
      </c>
      <c r="J1208" s="44" t="s">
        <v>16</v>
      </c>
      <c r="K1208" s="186" t="s">
        <v>132</v>
      </c>
      <c r="L1208" s="187" t="s">
        <v>133</v>
      </c>
      <c r="M1208" s="44" t="s">
        <v>16</v>
      </c>
      <c r="N1208" s="186" t="s">
        <v>132</v>
      </c>
      <c r="O1208" s="187" t="s">
        <v>133</v>
      </c>
      <c r="P1208" s="44" t="s">
        <v>16</v>
      </c>
      <c r="Q1208" s="186" t="s">
        <v>132</v>
      </c>
      <c r="R1208" s="187" t="s">
        <v>133</v>
      </c>
      <c r="S1208" s="44" t="s">
        <v>16</v>
      </c>
      <c r="T1208" s="186" t="s">
        <v>132</v>
      </c>
      <c r="U1208" s="187" t="s">
        <v>133</v>
      </c>
      <c r="V1208" s="44" t="s">
        <v>16</v>
      </c>
      <c r="W1208" s="186" t="s">
        <v>132</v>
      </c>
      <c r="X1208" s="187" t="s">
        <v>133</v>
      </c>
      <c r="Y1208" s="44" t="s">
        <v>16</v>
      </c>
      <c r="Z1208" s="186" t="s">
        <v>132</v>
      </c>
      <c r="AA1208" s="187" t="s">
        <v>133</v>
      </c>
      <c r="AB1208" s="44" t="s">
        <v>16</v>
      </c>
    </row>
    <row r="1209" spans="1:33" s="41" customFormat="1" x14ac:dyDescent="0.2">
      <c r="A1209" s="98" t="s">
        <v>134</v>
      </c>
      <c r="B1209" s="31">
        <f>COUNTIFS(DATA!$AP$3:$AP$7183,1,DATA!$D$3:$D$7183,260)</f>
        <v>56</v>
      </c>
      <c r="C1209" s="35">
        <f>IF(B1213=0,0,+B1209/B1213)</f>
        <v>0.62222222222222223</v>
      </c>
      <c r="D1209" s="31">
        <f>COUNTIFS(DATA!$AP$3:$AP$7183,1,DATA!$D$3:$D$7183,280)</f>
        <v>14</v>
      </c>
      <c r="E1209" s="35">
        <f>+D1209/D1213</f>
        <v>0.41176470588235292</v>
      </c>
      <c r="F1209" s="31">
        <f>+D1209+B1209</f>
        <v>70</v>
      </c>
      <c r="G1209" s="35">
        <f>+F1209/F1213</f>
        <v>0.56451612903225812</v>
      </c>
      <c r="H1209" s="35">
        <v>0.56521739130434778</v>
      </c>
      <c r="I1209" s="180">
        <v>0.47619047619047616</v>
      </c>
      <c r="J1209" s="182">
        <v>0.53153153153153154</v>
      </c>
      <c r="K1209" s="35">
        <v>0.6179775280898876</v>
      </c>
      <c r="L1209" s="180">
        <v>0.49090909090909091</v>
      </c>
      <c r="M1209" s="182">
        <v>0.56944444444444442</v>
      </c>
      <c r="N1209" s="35">
        <v>0.64331210191082799</v>
      </c>
      <c r="O1209" s="180">
        <v>0.50617283950617287</v>
      </c>
      <c r="P1209" s="182">
        <v>0.59663865546218486</v>
      </c>
      <c r="Q1209" s="35">
        <v>0.55000000000000004</v>
      </c>
      <c r="R1209" s="180">
        <v>0.39</v>
      </c>
      <c r="S1209" s="182">
        <v>0.49</v>
      </c>
      <c r="T1209" s="35">
        <v>0.56799999999999995</v>
      </c>
      <c r="U1209" s="180">
        <v>0.54054054054054057</v>
      </c>
      <c r="V1209" s="182">
        <v>0.55778894472361806</v>
      </c>
      <c r="W1209" s="35">
        <v>0.6171875</v>
      </c>
      <c r="X1209" s="180">
        <v>0.57831325301204817</v>
      </c>
      <c r="Y1209" s="182">
        <v>0.6018957345971564</v>
      </c>
      <c r="Z1209" s="35">
        <v>0.53846153846153844</v>
      </c>
      <c r="AA1209" s="180">
        <v>0.37931034482758619</v>
      </c>
      <c r="AB1209" s="182">
        <v>0.4925373134328358</v>
      </c>
    </row>
    <row r="1210" spans="1:33" s="41" customFormat="1" x14ac:dyDescent="0.2">
      <c r="A1210" s="99" t="s">
        <v>135</v>
      </c>
      <c r="B1210" s="31">
        <f>COUNTIFS(DATA!$AP$3:$AP$7183,2,DATA!$D$3:$D$7183,260)</f>
        <v>7</v>
      </c>
      <c r="C1210" s="35">
        <f>IF(B1213=0,0,+B1210/B1213)</f>
        <v>7.7777777777777779E-2</v>
      </c>
      <c r="D1210" s="42">
        <f>COUNTIFS(DATA!$AP$3:$AP$7183,2,DATA!$D$3:$D$7183,280)</f>
        <v>9</v>
      </c>
      <c r="E1210" s="35">
        <f>+D1210/D1213</f>
        <v>0.26470588235294118</v>
      </c>
      <c r="F1210" s="42">
        <f t="shared" ref="F1210:F1212" si="126">+D1210+B1210</f>
        <v>16</v>
      </c>
      <c r="G1210" s="35">
        <f>+F1210/F1213</f>
        <v>0.12903225806451613</v>
      </c>
      <c r="H1210" s="35">
        <v>0.14492753623188406</v>
      </c>
      <c r="I1210" s="180">
        <v>0.2857142857142857</v>
      </c>
      <c r="J1210" s="182">
        <v>0.1981981981981982</v>
      </c>
      <c r="K1210" s="35">
        <v>0.1348314606741573</v>
      </c>
      <c r="L1210" s="180">
        <v>0.10909090909090909</v>
      </c>
      <c r="M1210" s="182">
        <v>0.125</v>
      </c>
      <c r="N1210" s="35">
        <v>7.0063694267515922E-2</v>
      </c>
      <c r="O1210" s="180">
        <v>0.24691358024691357</v>
      </c>
      <c r="P1210" s="182">
        <v>0.13025210084033614</v>
      </c>
      <c r="Q1210" s="35">
        <v>7.0000000000000007E-2</v>
      </c>
      <c r="R1210" s="180">
        <v>0.13</v>
      </c>
      <c r="S1210" s="182">
        <v>0.1</v>
      </c>
      <c r="T1210" s="35">
        <v>0.128</v>
      </c>
      <c r="U1210" s="180">
        <v>0.22972972972972974</v>
      </c>
      <c r="V1210" s="182">
        <v>0.16582914572864321</v>
      </c>
      <c r="W1210" s="35">
        <v>8.59375E-2</v>
      </c>
      <c r="X1210" s="180">
        <v>0.2289156626506024</v>
      </c>
      <c r="Y1210" s="182">
        <v>0.14218009478672985</v>
      </c>
      <c r="Z1210" s="35">
        <v>6.2937062937062943E-2</v>
      </c>
      <c r="AA1210" s="180">
        <v>0.18965517241379309</v>
      </c>
      <c r="AB1210" s="182">
        <v>9.950248756218906E-2</v>
      </c>
    </row>
    <row r="1211" spans="1:33" s="41" customFormat="1" ht="28.5" customHeight="1" x14ac:dyDescent="0.2">
      <c r="A1211" s="92" t="s">
        <v>94</v>
      </c>
      <c r="B1211" s="31">
        <f>COUNTIFS(DATA!$AP$3:$AP$7183,"3",DATA!$D$3:$D$7183,260)</f>
        <v>17</v>
      </c>
      <c r="C1211" s="35">
        <f>IF(B1213=0,0,+B1211/B1213)</f>
        <v>0.18888888888888888</v>
      </c>
      <c r="D1211" s="42">
        <f>COUNTIFS(DATA!$AP$3:$AP$7183,"3",DATA!$D$3:$D$7183,280)</f>
        <v>4</v>
      </c>
      <c r="E1211" s="35">
        <f>+D1211/D1213</f>
        <v>0.11764705882352941</v>
      </c>
      <c r="F1211" s="42">
        <f t="shared" si="126"/>
        <v>21</v>
      </c>
      <c r="G1211" s="35">
        <f>+F1211/F1213</f>
        <v>0.16935483870967741</v>
      </c>
      <c r="H1211" s="35">
        <v>0.13043478260869565</v>
      </c>
      <c r="I1211" s="180">
        <v>0.11904761904761904</v>
      </c>
      <c r="J1211" s="182">
        <v>0.12612612612612611</v>
      </c>
      <c r="K1211" s="35">
        <v>0.10112359550561797</v>
      </c>
      <c r="L1211" s="180">
        <v>0.12727272727272726</v>
      </c>
      <c r="M1211" s="182">
        <v>0.1111111111111111</v>
      </c>
      <c r="N1211" s="35">
        <v>0.18471337579617833</v>
      </c>
      <c r="O1211" s="180">
        <v>0.12345679012345678</v>
      </c>
      <c r="P1211" s="182">
        <v>0.1638655462184874</v>
      </c>
      <c r="Q1211" s="35">
        <v>0.22</v>
      </c>
      <c r="R1211" s="180">
        <v>0.22</v>
      </c>
      <c r="S1211" s="182">
        <v>0.22</v>
      </c>
      <c r="T1211" s="35">
        <v>0.14399999999999999</v>
      </c>
      <c r="U1211" s="180">
        <v>0.12162162162162163</v>
      </c>
      <c r="V1211" s="182">
        <v>0.135678391959799</v>
      </c>
      <c r="W1211" s="35">
        <v>0.1328125</v>
      </c>
      <c r="X1211" s="180">
        <v>8.4337349397590355E-2</v>
      </c>
      <c r="Y1211" s="182">
        <v>0.11374407582938388</v>
      </c>
      <c r="Z1211" s="35">
        <v>0.28671328671328672</v>
      </c>
      <c r="AA1211" s="180">
        <v>0.27586206896551724</v>
      </c>
      <c r="AB1211" s="182">
        <v>0.28358208955223879</v>
      </c>
    </row>
    <row r="1212" spans="1:33" s="41" customFormat="1" ht="15" thickBot="1" x14ac:dyDescent="0.25">
      <c r="A1212" s="93" t="s">
        <v>39</v>
      </c>
      <c r="B1212" s="31">
        <f>COUNTIFS(DATA!$AP$3:$AP$7183,"4",DATA!$D$3:$D$7183,260)</f>
        <v>10</v>
      </c>
      <c r="C1212" s="35">
        <f>IF(B1213=0,0,+B1212/B1213)</f>
        <v>0.1111111111111111</v>
      </c>
      <c r="D1212" s="42">
        <f>COUNTIFS(DATA!$AP$3:$AP$7183,"4",DATA!$D$3:$D$7183,280)</f>
        <v>7</v>
      </c>
      <c r="E1212" s="35">
        <f>+D1212/D1213</f>
        <v>0.20588235294117646</v>
      </c>
      <c r="F1212" s="42">
        <f t="shared" si="126"/>
        <v>17</v>
      </c>
      <c r="G1212" s="35">
        <f>+F1212/F1213</f>
        <v>0.13709677419354838</v>
      </c>
      <c r="H1212" s="35">
        <v>0.15942028985507245</v>
      </c>
      <c r="I1212" s="180">
        <v>0.11904761904761904</v>
      </c>
      <c r="J1212" s="182">
        <v>0.14414414414414414</v>
      </c>
      <c r="K1212" s="35">
        <v>0.14606741573033707</v>
      </c>
      <c r="L1212" s="180">
        <v>0.27272727272727271</v>
      </c>
      <c r="M1212" s="182">
        <v>0.19444444444444445</v>
      </c>
      <c r="N1212" s="35">
        <v>0.10191082802547771</v>
      </c>
      <c r="O1212" s="180">
        <v>0.12345679012345678</v>
      </c>
      <c r="P1212" s="182">
        <v>0.1092436974789916</v>
      </c>
      <c r="Q1212" s="35">
        <v>0.16</v>
      </c>
      <c r="R1212" s="180">
        <v>0.26</v>
      </c>
      <c r="S1212" s="182">
        <v>0.2</v>
      </c>
      <c r="T1212" s="35">
        <v>0.16</v>
      </c>
      <c r="U1212" s="180">
        <v>0.10810810810810811</v>
      </c>
      <c r="V1212" s="182">
        <v>0.1407035175879397</v>
      </c>
      <c r="W1212" s="35">
        <v>0.1640625</v>
      </c>
      <c r="X1212" s="180">
        <v>0.10843373493975904</v>
      </c>
      <c r="Y1212" s="182">
        <v>0.14218009478672985</v>
      </c>
      <c r="Z1212" s="35">
        <v>0.11188811188811189</v>
      </c>
      <c r="AA1212" s="180">
        <v>0.15517241379310345</v>
      </c>
      <c r="AB1212" s="182">
        <v>0.12437810945273632</v>
      </c>
      <c r="AC1212" s="74"/>
      <c r="AF1212" s="162"/>
    </row>
    <row r="1213" spans="1:33" s="41" customFormat="1" ht="15.75" thickBot="1" x14ac:dyDescent="0.3">
      <c r="A1213" s="111" t="s">
        <v>16</v>
      </c>
      <c r="B1213" s="101">
        <f>SUM(B1209:B1212)</f>
        <v>90</v>
      </c>
      <c r="C1213" s="114">
        <f>IF(B1213=0,0,+B1213/B1213)</f>
        <v>1</v>
      </c>
      <c r="D1213" s="101">
        <f>SUM(D1209:D1212)</f>
        <v>34</v>
      </c>
      <c r="E1213" s="114">
        <f>+D1213/D1213</f>
        <v>1</v>
      </c>
      <c r="F1213" s="101">
        <f>SUM(F1209:F1212)</f>
        <v>124</v>
      </c>
      <c r="G1213" s="114">
        <f>+F1213/F1213</f>
        <v>1</v>
      </c>
      <c r="H1213" s="183">
        <v>1</v>
      </c>
      <c r="I1213" s="184">
        <v>1</v>
      </c>
      <c r="J1213" s="185">
        <v>1</v>
      </c>
      <c r="K1213" s="183">
        <v>1</v>
      </c>
      <c r="L1213" s="184">
        <v>1</v>
      </c>
      <c r="M1213" s="185">
        <v>1</v>
      </c>
      <c r="N1213" s="183">
        <v>1</v>
      </c>
      <c r="O1213" s="184">
        <v>1</v>
      </c>
      <c r="P1213" s="185">
        <v>1</v>
      </c>
      <c r="Q1213" s="183">
        <v>1</v>
      </c>
      <c r="R1213" s="184">
        <v>1</v>
      </c>
      <c r="S1213" s="185">
        <v>1</v>
      </c>
      <c r="T1213" s="183">
        <v>1</v>
      </c>
      <c r="U1213" s="184">
        <v>1</v>
      </c>
      <c r="V1213" s="185">
        <v>1</v>
      </c>
      <c r="W1213" s="183">
        <v>1</v>
      </c>
      <c r="X1213" s="184">
        <v>1</v>
      </c>
      <c r="Y1213" s="185">
        <v>1</v>
      </c>
      <c r="Z1213" s="183">
        <v>1</v>
      </c>
      <c r="AA1213" s="184">
        <v>1</v>
      </c>
      <c r="AB1213" s="185">
        <v>1</v>
      </c>
      <c r="AF1213" s="162"/>
    </row>
    <row r="1214" spans="1:33" s="41" customFormat="1" x14ac:dyDescent="0.2">
      <c r="N1214" s="162"/>
    </row>
    <row r="1215" spans="1:33" s="41" customFormat="1" x14ac:dyDescent="0.2">
      <c r="N1215" s="162"/>
    </row>
    <row r="1216" spans="1:33" s="41" customFormat="1" ht="14.25" customHeight="1" x14ac:dyDescent="0.2">
      <c r="K1216" s="218" t="s">
        <v>140</v>
      </c>
      <c r="L1216" s="218"/>
      <c r="M1216" s="218"/>
      <c r="N1216" s="218"/>
      <c r="O1216" s="218"/>
      <c r="P1216" s="218"/>
      <c r="Q1216" s="218"/>
      <c r="R1216" s="218"/>
    </row>
    <row r="1217" spans="11:18" s="41" customFormat="1" x14ac:dyDescent="0.2">
      <c r="K1217" s="218"/>
      <c r="L1217" s="218"/>
      <c r="M1217" s="218"/>
      <c r="N1217" s="218"/>
      <c r="O1217" s="218"/>
      <c r="P1217" s="218"/>
      <c r="Q1217" s="218"/>
      <c r="R1217" s="218"/>
    </row>
    <row r="1218" spans="11:18" s="41" customFormat="1" x14ac:dyDescent="0.2">
      <c r="K1218" s="201" t="s">
        <v>7187</v>
      </c>
      <c r="L1218" s="201"/>
      <c r="M1218" s="201"/>
      <c r="N1218" s="201"/>
      <c r="O1218" s="201"/>
      <c r="P1218" s="201"/>
      <c r="Q1218" s="201"/>
      <c r="R1218" s="201"/>
    </row>
    <row r="1219" spans="11:18" s="41" customFormat="1" x14ac:dyDescent="0.2">
      <c r="K1219" s="202"/>
      <c r="L1219" s="202"/>
      <c r="M1219" s="202"/>
      <c r="N1219" s="202"/>
      <c r="O1219" s="202"/>
      <c r="P1219" s="202"/>
      <c r="Q1219" s="202"/>
      <c r="R1219" s="202"/>
    </row>
    <row r="1220" spans="11:18" s="41" customFormat="1" x14ac:dyDescent="0.2">
      <c r="K1220" s="214" t="s">
        <v>7188</v>
      </c>
      <c r="L1220" s="215"/>
      <c r="M1220" s="215"/>
      <c r="N1220" s="215"/>
      <c r="O1220" s="215"/>
      <c r="P1220" s="215"/>
      <c r="Q1220" s="215"/>
      <c r="R1220" s="215"/>
    </row>
    <row r="1221" spans="11:18" s="41" customFormat="1" x14ac:dyDescent="0.2">
      <c r="N1221" s="162"/>
    </row>
    <row r="1222" spans="11:18" s="41" customFormat="1" x14ac:dyDescent="0.2">
      <c r="N1222" s="162"/>
    </row>
    <row r="1223" spans="11:18" s="41" customFormat="1" x14ac:dyDescent="0.2">
      <c r="N1223" s="162"/>
    </row>
    <row r="1224" spans="11:18" s="41" customFormat="1" x14ac:dyDescent="0.2">
      <c r="N1224" s="162"/>
    </row>
    <row r="1225" spans="11:18" s="41" customFormat="1" x14ac:dyDescent="0.2">
      <c r="N1225" s="162"/>
    </row>
    <row r="1226" spans="11:18" s="41" customFormat="1" x14ac:dyDescent="0.2">
      <c r="N1226" s="162"/>
    </row>
    <row r="1227" spans="11:18" s="41" customFormat="1" x14ac:dyDescent="0.2">
      <c r="N1227" s="162"/>
    </row>
    <row r="1228" spans="11:18" s="41" customFormat="1" x14ac:dyDescent="0.2">
      <c r="N1228" s="162"/>
    </row>
    <row r="1229" spans="11:18" s="41" customFormat="1" x14ac:dyDescent="0.2">
      <c r="N1229" s="162"/>
    </row>
    <row r="1230" spans="11:18" s="41" customFormat="1" x14ac:dyDescent="0.2">
      <c r="N1230" s="162"/>
    </row>
    <row r="1231" spans="11:18" s="41" customFormat="1" x14ac:dyDescent="0.2">
      <c r="N1231" s="162"/>
    </row>
    <row r="1232" spans="11:18" s="41" customFormat="1" x14ac:dyDescent="0.2">
      <c r="N1232" s="162"/>
    </row>
    <row r="1233" spans="1:36" s="41" customFormat="1" x14ac:dyDescent="0.2">
      <c r="N1233" s="162"/>
    </row>
    <row r="1234" spans="1:36" s="41" customFormat="1" x14ac:dyDescent="0.2">
      <c r="N1234" s="162"/>
    </row>
    <row r="1235" spans="1:36" s="41" customFormat="1" x14ac:dyDescent="0.2">
      <c r="N1235" s="162"/>
    </row>
    <row r="1236" spans="1:36" s="41" customFormat="1" x14ac:dyDescent="0.2">
      <c r="N1236" s="162"/>
    </row>
    <row r="1237" spans="1:36" s="41" customFormat="1" x14ac:dyDescent="0.2">
      <c r="N1237" s="162"/>
    </row>
    <row r="1238" spans="1:36" s="41" customFormat="1" x14ac:dyDescent="0.2">
      <c r="N1238" s="162"/>
    </row>
    <row r="1239" spans="1:36" s="41" customFormat="1" x14ac:dyDescent="0.2">
      <c r="N1239" s="162"/>
    </row>
    <row r="1240" spans="1:36" s="41" customFormat="1" ht="15" thickBot="1" x14ac:dyDescent="0.25">
      <c r="N1240" s="162"/>
    </row>
    <row r="1241" spans="1:36" s="41" customFormat="1" ht="42" customHeight="1" thickBot="1" x14ac:dyDescent="0.25">
      <c r="A1241" s="240" t="s">
        <v>166</v>
      </c>
      <c r="B1241" s="241"/>
      <c r="C1241" s="241"/>
      <c r="D1241" s="241"/>
      <c r="E1241" s="241"/>
      <c r="F1241" s="241"/>
      <c r="G1241" s="242"/>
      <c r="K1241" s="224"/>
      <c r="L1241" s="225"/>
      <c r="M1241" s="225"/>
      <c r="N1241" s="225"/>
      <c r="O1241" s="225"/>
      <c r="P1241" s="225"/>
      <c r="Q1241" s="225"/>
      <c r="R1241" s="225"/>
    </row>
    <row r="1242" spans="1:36" s="41" customFormat="1" ht="15.75" thickBot="1" x14ac:dyDescent="0.3">
      <c r="A1242" s="28"/>
      <c r="B1242" s="234" t="str">
        <f>+B73</f>
        <v>Successful</v>
      </c>
      <c r="C1242" s="235"/>
      <c r="D1242" s="236" t="str">
        <f>+D73</f>
        <v>Unsuccessful</v>
      </c>
      <c r="E1242" s="237"/>
      <c r="F1242" s="238" t="s">
        <v>16</v>
      </c>
      <c r="G1242" s="239"/>
      <c r="H1242" s="206">
        <f>+H73</f>
        <v>2021</v>
      </c>
      <c r="I1242" s="207"/>
      <c r="J1242" s="208"/>
      <c r="K1242" s="206">
        <f>+K73</f>
        <v>2020</v>
      </c>
      <c r="L1242" s="207"/>
      <c r="M1242" s="208"/>
      <c r="N1242" s="206">
        <f>+N73</f>
        <v>2019</v>
      </c>
      <c r="O1242" s="207"/>
      <c r="P1242" s="208"/>
      <c r="Q1242" s="206">
        <f>+Q73</f>
        <v>2018</v>
      </c>
      <c r="R1242" s="207"/>
      <c r="S1242" s="208"/>
      <c r="T1242" s="206">
        <f>+T73</f>
        <v>2017</v>
      </c>
      <c r="U1242" s="207"/>
      <c r="V1242" s="208"/>
      <c r="W1242" s="209">
        <f>+W73</f>
        <v>2016</v>
      </c>
      <c r="X1242" s="210"/>
      <c r="Y1242" s="211"/>
      <c r="Z1242" s="209">
        <f>+Z73</f>
        <v>2015</v>
      </c>
      <c r="AA1242" s="210"/>
      <c r="AB1242" s="211"/>
      <c r="AC1242" s="165"/>
      <c r="AD1242" s="165"/>
      <c r="AE1242" s="165"/>
      <c r="AF1242" s="165"/>
      <c r="AG1242" s="165"/>
      <c r="AH1242" s="147"/>
      <c r="AI1242" s="147"/>
      <c r="AJ1242" s="147"/>
    </row>
    <row r="1243" spans="1:36" s="41" customFormat="1" ht="29.25" thickBot="1" x14ac:dyDescent="0.25">
      <c r="A1243" s="28"/>
      <c r="B1243" s="29" t="s">
        <v>37</v>
      </c>
      <c r="C1243" s="30" t="s">
        <v>38</v>
      </c>
      <c r="D1243" s="29" t="s">
        <v>37</v>
      </c>
      <c r="E1243" s="30" t="s">
        <v>38</v>
      </c>
      <c r="F1243" s="29" t="s">
        <v>37</v>
      </c>
      <c r="G1243" s="30" t="s">
        <v>38</v>
      </c>
      <c r="H1243" s="186" t="s">
        <v>132</v>
      </c>
      <c r="I1243" s="187" t="s">
        <v>133</v>
      </c>
      <c r="J1243" s="44" t="s">
        <v>16</v>
      </c>
      <c r="K1243" s="186" t="s">
        <v>132</v>
      </c>
      <c r="L1243" s="187" t="s">
        <v>133</v>
      </c>
      <c r="M1243" s="44" t="s">
        <v>16</v>
      </c>
      <c r="N1243" s="186" t="s">
        <v>132</v>
      </c>
      <c r="O1243" s="187" t="s">
        <v>133</v>
      </c>
      <c r="P1243" s="44" t="s">
        <v>16</v>
      </c>
      <c r="Q1243" s="186" t="s">
        <v>132</v>
      </c>
      <c r="R1243" s="187" t="s">
        <v>133</v>
      </c>
      <c r="S1243" s="44" t="s">
        <v>16</v>
      </c>
      <c r="T1243" s="186" t="s">
        <v>132</v>
      </c>
      <c r="U1243" s="187" t="s">
        <v>133</v>
      </c>
      <c r="V1243" s="44" t="s">
        <v>16</v>
      </c>
      <c r="W1243" s="186" t="s">
        <v>132</v>
      </c>
      <c r="X1243" s="187" t="s">
        <v>133</v>
      </c>
      <c r="Y1243" s="44" t="s">
        <v>16</v>
      </c>
      <c r="Z1243" s="186" t="s">
        <v>132</v>
      </c>
      <c r="AA1243" s="187" t="s">
        <v>133</v>
      </c>
      <c r="AB1243" s="44" t="s">
        <v>16</v>
      </c>
      <c r="AC1243" s="149"/>
      <c r="AD1243" s="149"/>
      <c r="AE1243" s="149"/>
      <c r="AF1243" s="163"/>
      <c r="AG1243" s="148"/>
      <c r="AH1243" s="147"/>
      <c r="AI1243" s="147"/>
      <c r="AJ1243" s="147"/>
    </row>
    <row r="1244" spans="1:36" s="41" customFormat="1" ht="28.5" customHeight="1" x14ac:dyDescent="0.2">
      <c r="A1244" s="98" t="s">
        <v>134</v>
      </c>
      <c r="B1244" s="31">
        <f>COUNTIFS(DATA!$AQ$3:$AQ$7183,1,DATA!$D$3:$D$7183,260)</f>
        <v>18</v>
      </c>
      <c r="C1244" s="35">
        <f>IF(B1248=0,0,+B1244/B1248)</f>
        <v>0.2</v>
      </c>
      <c r="D1244" s="31">
        <f>COUNTIFS(DATA!$AQ$3:$AQ$7183,1,DATA!$D$3:$D$7183,280)</f>
        <v>7</v>
      </c>
      <c r="E1244" s="35">
        <f>+D1244/D1248</f>
        <v>0.20588235294117646</v>
      </c>
      <c r="F1244" s="31">
        <f>+D1244+B1244</f>
        <v>25</v>
      </c>
      <c r="G1244" s="35">
        <f>+F1244/F1248</f>
        <v>0.20161290322580644</v>
      </c>
      <c r="H1244" s="181">
        <v>0.17391304347826086</v>
      </c>
      <c r="I1244" s="180">
        <v>0.21428571428571427</v>
      </c>
      <c r="J1244" s="182">
        <v>0.1891891891891892</v>
      </c>
      <c r="K1244" s="181">
        <v>0.16853932584269662</v>
      </c>
      <c r="L1244" s="180">
        <v>0.25454545454545452</v>
      </c>
      <c r="M1244" s="182">
        <v>0.2013888888888889</v>
      </c>
      <c r="N1244" s="181">
        <v>0.19108280254777071</v>
      </c>
      <c r="O1244" s="180">
        <v>0.25925925925925924</v>
      </c>
      <c r="P1244" s="182">
        <v>0.21428571428571427</v>
      </c>
      <c r="Q1244" s="181">
        <v>0.22</v>
      </c>
      <c r="R1244" s="180">
        <v>0.28000000000000003</v>
      </c>
      <c r="S1244" s="182">
        <v>0.24</v>
      </c>
      <c r="T1244" s="181">
        <v>0.16</v>
      </c>
      <c r="U1244" s="180">
        <v>0.21621621621621623</v>
      </c>
      <c r="V1244" s="182">
        <v>0.18090452261306533</v>
      </c>
      <c r="W1244" s="181">
        <v>0.1875</v>
      </c>
      <c r="X1244" s="180">
        <v>0.21686746987951808</v>
      </c>
      <c r="Y1244" s="182">
        <v>0.1990521327014218</v>
      </c>
      <c r="Z1244" s="181">
        <v>0.12587412587412589</v>
      </c>
      <c r="AA1244" s="180">
        <v>0.2413793103448276</v>
      </c>
      <c r="AB1244" s="182">
        <v>0.16062176165803108</v>
      </c>
    </row>
    <row r="1245" spans="1:36" s="41" customFormat="1" ht="29.25" customHeight="1" x14ac:dyDescent="0.2">
      <c r="A1245" s="99" t="s">
        <v>135</v>
      </c>
      <c r="B1245" s="31">
        <f>COUNTIFS(DATA!$AQ$3:$AQ$7183,2,DATA!$D$3:$D$7183,260)</f>
        <v>25</v>
      </c>
      <c r="C1245" s="35">
        <f>IF(B1248=0,0,+B1245/B1248)</f>
        <v>0.27777777777777779</v>
      </c>
      <c r="D1245" s="42">
        <f>COUNTIFS(DATA!$AQ$3:$AQ$7183,2,DATA!$D$3:$D$7183,280)</f>
        <v>13</v>
      </c>
      <c r="E1245" s="35">
        <f>+D1245/D1248</f>
        <v>0.38235294117647056</v>
      </c>
      <c r="F1245" s="42">
        <f t="shared" ref="F1245:F1247" si="127">+D1245+B1245</f>
        <v>38</v>
      </c>
      <c r="G1245" s="35">
        <f>+F1245/F1248</f>
        <v>0.30645161290322581</v>
      </c>
      <c r="H1245" s="181">
        <v>0.27536231884057971</v>
      </c>
      <c r="I1245" s="180">
        <v>0.35714285714285715</v>
      </c>
      <c r="J1245" s="182">
        <v>0.30630630630630629</v>
      </c>
      <c r="K1245" s="181">
        <v>0.38202247191011235</v>
      </c>
      <c r="L1245" s="180">
        <v>0.30909090909090908</v>
      </c>
      <c r="M1245" s="182">
        <v>0.35416666666666669</v>
      </c>
      <c r="N1245" s="181">
        <v>0.31847133757961782</v>
      </c>
      <c r="O1245" s="180">
        <v>0.37037037037037035</v>
      </c>
      <c r="P1245" s="182">
        <v>0.33613445378151263</v>
      </c>
      <c r="Q1245" s="181">
        <v>0.32</v>
      </c>
      <c r="R1245" s="180">
        <v>0.3</v>
      </c>
      <c r="S1245" s="182">
        <v>0.31</v>
      </c>
      <c r="T1245" s="181">
        <v>0.36</v>
      </c>
      <c r="U1245" s="180">
        <v>0.45945945945945948</v>
      </c>
      <c r="V1245" s="182">
        <v>0.39698492462311558</v>
      </c>
      <c r="W1245" s="181">
        <v>0.34375</v>
      </c>
      <c r="X1245" s="180">
        <v>0.43373493975903615</v>
      </c>
      <c r="Y1245" s="182">
        <v>0.37914691943127959</v>
      </c>
      <c r="Z1245" s="181">
        <v>0.34265734265734266</v>
      </c>
      <c r="AA1245" s="180">
        <v>0.2413793103448276</v>
      </c>
      <c r="AB1245" s="182">
        <v>0.31</v>
      </c>
    </row>
    <row r="1246" spans="1:36" s="41" customFormat="1" ht="27" customHeight="1" x14ac:dyDescent="0.2">
      <c r="A1246" s="43" t="s">
        <v>94</v>
      </c>
      <c r="B1246" s="31">
        <f>COUNTIFS(DATA!$AQ$3:$AQ$7183,"3",DATA!$D$3:$D$7183,260)</f>
        <v>38</v>
      </c>
      <c r="C1246" s="35">
        <f>IF(B1248=0,0,+B1246/B1248)</f>
        <v>0.42222222222222222</v>
      </c>
      <c r="D1246" s="42">
        <f>COUNTIFS(DATA!$AQ$3:$AQ$7183,"3",DATA!$D$3:$D$7183,280)</f>
        <v>7</v>
      </c>
      <c r="E1246" s="35">
        <f>+D1246/D1248</f>
        <v>0.20588235294117646</v>
      </c>
      <c r="F1246" s="42">
        <f t="shared" si="127"/>
        <v>45</v>
      </c>
      <c r="G1246" s="35">
        <f>+F1246/F1248</f>
        <v>0.36290322580645162</v>
      </c>
      <c r="H1246" s="181">
        <v>0.39130434782608697</v>
      </c>
      <c r="I1246" s="180">
        <v>0.30952380952380953</v>
      </c>
      <c r="J1246" s="182">
        <v>0.36036036036036034</v>
      </c>
      <c r="K1246" s="181">
        <v>0.29213483146067415</v>
      </c>
      <c r="L1246" s="180">
        <v>0.18181818181818182</v>
      </c>
      <c r="M1246" s="182">
        <v>0.25</v>
      </c>
      <c r="N1246" s="181">
        <v>0.38853503184713378</v>
      </c>
      <c r="O1246" s="180">
        <v>0.24691358024691357</v>
      </c>
      <c r="P1246" s="182">
        <v>0.34033613445378152</v>
      </c>
      <c r="Q1246" s="181">
        <v>0.3</v>
      </c>
      <c r="R1246" s="180">
        <v>0.19</v>
      </c>
      <c r="S1246" s="182">
        <v>0.26</v>
      </c>
      <c r="T1246" s="181">
        <v>0.32</v>
      </c>
      <c r="U1246" s="180">
        <v>0.22972972972972974</v>
      </c>
      <c r="V1246" s="182">
        <v>0.28643216080402012</v>
      </c>
      <c r="W1246" s="181">
        <v>0.3125</v>
      </c>
      <c r="X1246" s="180">
        <v>0.25301204819277107</v>
      </c>
      <c r="Y1246" s="182">
        <v>0.2890995260663507</v>
      </c>
      <c r="Z1246" s="181">
        <v>0.41258741258741261</v>
      </c>
      <c r="AA1246" s="180">
        <v>0.37931034482758619</v>
      </c>
      <c r="AB1246" s="182">
        <v>0.4</v>
      </c>
    </row>
    <row r="1247" spans="1:36" s="41" customFormat="1" ht="29.25" customHeight="1" thickBot="1" x14ac:dyDescent="0.25">
      <c r="A1247" s="28" t="s">
        <v>39</v>
      </c>
      <c r="B1247" s="31">
        <f>COUNTIFS(DATA!$AQ$3:$AQ$7183,"4",DATA!$D$3:$D$7183,260)</f>
        <v>9</v>
      </c>
      <c r="C1247" s="35">
        <f>IF(B1248=0,0,+B1247/B1248)</f>
        <v>0.1</v>
      </c>
      <c r="D1247" s="42">
        <f>COUNTIFS(DATA!$AQ$3:$AQ$7183,"4",DATA!$D$3:$D$7183,280)</f>
        <v>7</v>
      </c>
      <c r="E1247" s="35">
        <f>+D1247/D1248</f>
        <v>0.20588235294117646</v>
      </c>
      <c r="F1247" s="42">
        <f t="shared" si="127"/>
        <v>16</v>
      </c>
      <c r="G1247" s="35">
        <f>+F1247/F1248</f>
        <v>0.12903225806451613</v>
      </c>
      <c r="H1247" s="181">
        <v>0.15942028985507245</v>
      </c>
      <c r="I1247" s="180">
        <v>0.11904761904761904</v>
      </c>
      <c r="J1247" s="182">
        <v>0.14414414414414414</v>
      </c>
      <c r="K1247" s="181">
        <v>0.15730337078651685</v>
      </c>
      <c r="L1247" s="180">
        <v>0.25454545454545452</v>
      </c>
      <c r="M1247" s="182">
        <v>0.19444444444444445</v>
      </c>
      <c r="N1247" s="181">
        <v>0.10191082802547771</v>
      </c>
      <c r="O1247" s="180">
        <v>0.12345679012345678</v>
      </c>
      <c r="P1247" s="182">
        <v>0.1092436974789916</v>
      </c>
      <c r="Q1247" s="181">
        <v>0.16</v>
      </c>
      <c r="R1247" s="180">
        <v>0.23</v>
      </c>
      <c r="S1247" s="182">
        <v>0.19</v>
      </c>
      <c r="T1247" s="181">
        <v>0.16</v>
      </c>
      <c r="U1247" s="180">
        <v>9.45945945945946E-2</v>
      </c>
      <c r="V1247" s="182">
        <v>0.135678391959799</v>
      </c>
      <c r="W1247" s="181">
        <v>0.15625</v>
      </c>
      <c r="X1247" s="180">
        <v>9.6385542168674704E-2</v>
      </c>
      <c r="Y1247" s="182">
        <v>0.13270142180094788</v>
      </c>
      <c r="Z1247" s="181">
        <v>0.11888111888111888</v>
      </c>
      <c r="AA1247" s="180">
        <v>0.13793103448275862</v>
      </c>
      <c r="AB1247" s="182">
        <v>0.12</v>
      </c>
    </row>
    <row r="1248" spans="1:36" s="41" customFormat="1" ht="15.75" thickBot="1" x14ac:dyDescent="0.3">
      <c r="A1248" s="111" t="s">
        <v>16</v>
      </c>
      <c r="B1248" s="101">
        <f>SUM(B1244:B1247)</f>
        <v>90</v>
      </c>
      <c r="C1248" s="114">
        <f>IF(B1248=0,0,+B1248/B1248)</f>
        <v>1</v>
      </c>
      <c r="D1248" s="101">
        <f>SUM(D1244:D1247)</f>
        <v>34</v>
      </c>
      <c r="E1248" s="114">
        <f>+D1248/D1248</f>
        <v>1</v>
      </c>
      <c r="F1248" s="101">
        <f>SUM(F1244:F1247)</f>
        <v>124</v>
      </c>
      <c r="G1248" s="114">
        <f>+F1248/F1248</f>
        <v>1</v>
      </c>
      <c r="H1248" s="183">
        <v>1</v>
      </c>
      <c r="I1248" s="184">
        <v>1</v>
      </c>
      <c r="J1248" s="185">
        <v>1</v>
      </c>
      <c r="K1248" s="183">
        <v>1</v>
      </c>
      <c r="L1248" s="184">
        <v>1</v>
      </c>
      <c r="M1248" s="185">
        <v>1</v>
      </c>
      <c r="N1248" s="183">
        <v>1</v>
      </c>
      <c r="O1248" s="184">
        <v>1</v>
      </c>
      <c r="P1248" s="185">
        <v>1</v>
      </c>
      <c r="Q1248" s="183">
        <v>1</v>
      </c>
      <c r="R1248" s="184">
        <v>1</v>
      </c>
      <c r="S1248" s="185">
        <v>1</v>
      </c>
      <c r="T1248" s="183">
        <v>1</v>
      </c>
      <c r="U1248" s="184">
        <v>1</v>
      </c>
      <c r="V1248" s="185">
        <v>1</v>
      </c>
      <c r="W1248" s="183">
        <v>1</v>
      </c>
      <c r="X1248" s="184">
        <v>1</v>
      </c>
      <c r="Y1248" s="185">
        <v>1</v>
      </c>
      <c r="Z1248" s="183">
        <v>1</v>
      </c>
      <c r="AA1248" s="184">
        <v>1</v>
      </c>
      <c r="AB1248" s="185">
        <v>1</v>
      </c>
      <c r="AF1248" s="162"/>
    </row>
    <row r="1249" spans="11:18" s="41" customFormat="1" x14ac:dyDescent="0.2">
      <c r="N1249" s="162"/>
    </row>
    <row r="1250" spans="11:18" s="41" customFormat="1" x14ac:dyDescent="0.2">
      <c r="N1250" s="162"/>
    </row>
    <row r="1251" spans="11:18" s="41" customFormat="1" x14ac:dyDescent="0.2">
      <c r="N1251" s="162"/>
    </row>
    <row r="1252" spans="11:18" s="41" customFormat="1" ht="14.25" customHeight="1" x14ac:dyDescent="0.2">
      <c r="K1252" s="219" t="s">
        <v>7189</v>
      </c>
      <c r="L1252" s="219"/>
      <c r="M1252" s="219"/>
      <c r="N1252" s="219"/>
      <c r="O1252" s="219"/>
      <c r="P1252" s="219"/>
      <c r="Q1252" s="219"/>
      <c r="R1252" s="219"/>
    </row>
    <row r="1253" spans="11:18" s="41" customFormat="1" x14ac:dyDescent="0.2">
      <c r="K1253" s="219"/>
      <c r="L1253" s="219"/>
      <c r="M1253" s="219"/>
      <c r="N1253" s="219"/>
      <c r="O1253" s="219"/>
      <c r="P1253" s="219"/>
      <c r="Q1253" s="219"/>
      <c r="R1253" s="219"/>
    </row>
    <row r="1254" spans="11:18" s="41" customFormat="1" ht="14.25" customHeight="1" x14ac:dyDescent="0.2">
      <c r="K1254" s="219" t="s">
        <v>7190</v>
      </c>
      <c r="L1254" s="219"/>
      <c r="M1254" s="219"/>
      <c r="N1254" s="219"/>
      <c r="O1254" s="219"/>
      <c r="P1254" s="219"/>
      <c r="Q1254" s="219"/>
      <c r="R1254" s="219"/>
    </row>
    <row r="1255" spans="11:18" s="41" customFormat="1" x14ac:dyDescent="0.2">
      <c r="K1255" s="219"/>
      <c r="L1255" s="219"/>
      <c r="M1255" s="219"/>
      <c r="N1255" s="219"/>
      <c r="O1255" s="219"/>
      <c r="P1255" s="219"/>
      <c r="Q1255" s="219"/>
      <c r="R1255" s="219"/>
    </row>
    <row r="1256" spans="11:18" s="41" customFormat="1" ht="14.25" customHeight="1" x14ac:dyDescent="0.2">
      <c r="K1256" s="215" t="s">
        <v>7191</v>
      </c>
      <c r="L1256" s="215"/>
      <c r="M1256" s="215"/>
      <c r="N1256" s="215"/>
      <c r="O1256" s="215"/>
      <c r="P1256" s="215"/>
      <c r="Q1256" s="215"/>
      <c r="R1256" s="215"/>
    </row>
    <row r="1257" spans="11:18" s="41" customFormat="1" x14ac:dyDescent="0.2">
      <c r="K1257" s="215"/>
      <c r="L1257" s="215"/>
      <c r="M1257" s="215"/>
      <c r="N1257" s="215"/>
      <c r="O1257" s="215"/>
      <c r="P1257" s="215"/>
      <c r="Q1257" s="215"/>
      <c r="R1257" s="215"/>
    </row>
    <row r="1258" spans="11:18" s="41" customFormat="1" ht="14.25" customHeight="1" x14ac:dyDescent="0.2">
      <c r="K1258" s="215" t="s">
        <v>7192</v>
      </c>
      <c r="L1258" s="215"/>
      <c r="M1258" s="215"/>
      <c r="N1258" s="215"/>
      <c r="O1258" s="215"/>
      <c r="P1258" s="215"/>
      <c r="Q1258" s="215"/>
      <c r="R1258" s="215"/>
    </row>
    <row r="1259" spans="11:18" s="41" customFormat="1" x14ac:dyDescent="0.2">
      <c r="K1259" s="215"/>
      <c r="L1259" s="215"/>
      <c r="M1259" s="215"/>
      <c r="N1259" s="215"/>
      <c r="O1259" s="215"/>
      <c r="P1259" s="215"/>
      <c r="Q1259" s="215"/>
      <c r="R1259" s="215"/>
    </row>
    <row r="1260" spans="11:18" s="41" customFormat="1" x14ac:dyDescent="0.2">
      <c r="N1260" s="162"/>
    </row>
    <row r="1261" spans="11:18" s="41" customFormat="1" x14ac:dyDescent="0.2"/>
    <row r="1262" spans="11:18" s="41" customFormat="1" x14ac:dyDescent="0.2"/>
    <row r="1263" spans="11:18" s="41" customFormat="1" x14ac:dyDescent="0.2">
      <c r="N1263" s="162"/>
    </row>
    <row r="1264" spans="11:18" s="41" customFormat="1" x14ac:dyDescent="0.2">
      <c r="N1264" s="162"/>
    </row>
    <row r="1265" spans="1:36" s="41" customFormat="1" x14ac:dyDescent="0.2">
      <c r="N1265" s="162"/>
    </row>
    <row r="1266" spans="1:36" s="41" customFormat="1" x14ac:dyDescent="0.2">
      <c r="N1266" s="162"/>
    </row>
    <row r="1267" spans="1:36" s="41" customFormat="1" x14ac:dyDescent="0.2">
      <c r="N1267" s="162"/>
    </row>
    <row r="1268" spans="1:36" s="41" customFormat="1" x14ac:dyDescent="0.2">
      <c r="N1268" s="162"/>
    </row>
    <row r="1269" spans="1:36" s="41" customFormat="1" x14ac:dyDescent="0.2">
      <c r="N1269" s="162"/>
    </row>
    <row r="1270" spans="1:36" s="41" customFormat="1" x14ac:dyDescent="0.2">
      <c r="N1270" s="162"/>
    </row>
    <row r="1271" spans="1:36" s="41" customFormat="1" x14ac:dyDescent="0.2">
      <c r="N1271" s="162"/>
    </row>
    <row r="1272" spans="1:36" s="41" customFormat="1" x14ac:dyDescent="0.2">
      <c r="N1272" s="162"/>
    </row>
    <row r="1273" spans="1:36" s="41" customFormat="1" x14ac:dyDescent="0.2">
      <c r="N1273" s="162"/>
    </row>
    <row r="1274" spans="1:36" s="41" customFormat="1" x14ac:dyDescent="0.2">
      <c r="N1274" s="162"/>
    </row>
    <row r="1275" spans="1:36" s="41" customFormat="1" ht="15" thickBot="1" x14ac:dyDescent="0.25">
      <c r="N1275" s="162"/>
    </row>
    <row r="1276" spans="1:36" s="41" customFormat="1" ht="42" customHeight="1" thickBot="1" x14ac:dyDescent="0.25">
      <c r="A1276" s="240" t="s">
        <v>167</v>
      </c>
      <c r="B1276" s="241"/>
      <c r="C1276" s="241"/>
      <c r="D1276" s="241"/>
      <c r="E1276" s="241"/>
      <c r="F1276" s="241"/>
      <c r="G1276" s="242"/>
      <c r="K1276" s="224"/>
      <c r="L1276" s="225"/>
      <c r="M1276" s="225"/>
      <c r="N1276" s="225"/>
      <c r="O1276" s="225"/>
      <c r="P1276" s="225"/>
      <c r="Q1276" s="225"/>
      <c r="R1276" s="225"/>
    </row>
    <row r="1277" spans="1:36" s="41" customFormat="1" ht="15.75" thickBot="1" x14ac:dyDescent="0.3">
      <c r="A1277" s="28"/>
      <c r="B1277" s="234" t="str">
        <f>+B73</f>
        <v>Successful</v>
      </c>
      <c r="C1277" s="235"/>
      <c r="D1277" s="236" t="str">
        <f>+D73</f>
        <v>Unsuccessful</v>
      </c>
      <c r="E1277" s="237"/>
      <c r="F1277" s="238" t="s">
        <v>16</v>
      </c>
      <c r="G1277" s="239"/>
      <c r="H1277" s="206">
        <f>+H73</f>
        <v>2021</v>
      </c>
      <c r="I1277" s="207"/>
      <c r="J1277" s="208"/>
      <c r="K1277" s="206">
        <f>+K73</f>
        <v>2020</v>
      </c>
      <c r="L1277" s="207"/>
      <c r="M1277" s="208"/>
      <c r="N1277" s="206">
        <f>+N73</f>
        <v>2019</v>
      </c>
      <c r="O1277" s="207"/>
      <c r="P1277" s="208"/>
      <c r="Q1277" s="206">
        <f>+Q73</f>
        <v>2018</v>
      </c>
      <c r="R1277" s="207"/>
      <c r="S1277" s="208"/>
      <c r="T1277" s="206">
        <f>+T73</f>
        <v>2017</v>
      </c>
      <c r="U1277" s="207"/>
      <c r="V1277" s="208"/>
      <c r="W1277" s="209">
        <f>+W73</f>
        <v>2016</v>
      </c>
      <c r="X1277" s="210"/>
      <c r="Y1277" s="211"/>
      <c r="Z1277" s="209">
        <f>+Z73</f>
        <v>2015</v>
      </c>
      <c r="AA1277" s="210"/>
      <c r="AB1277" s="211"/>
      <c r="AC1277" s="165"/>
      <c r="AD1277" s="165"/>
      <c r="AE1277" s="165"/>
      <c r="AF1277" s="165"/>
      <c r="AG1277" s="165"/>
      <c r="AH1277" s="162"/>
      <c r="AI1277" s="162"/>
      <c r="AJ1277" s="162"/>
    </row>
    <row r="1278" spans="1:36" s="41" customFormat="1" ht="29.25" thickBot="1" x14ac:dyDescent="0.25">
      <c r="A1278" s="28"/>
      <c r="B1278" s="29" t="s">
        <v>37</v>
      </c>
      <c r="C1278" s="30" t="s">
        <v>38</v>
      </c>
      <c r="D1278" s="29" t="s">
        <v>37</v>
      </c>
      <c r="E1278" s="30" t="s">
        <v>38</v>
      </c>
      <c r="F1278" s="29" t="s">
        <v>37</v>
      </c>
      <c r="G1278" s="30" t="s">
        <v>38</v>
      </c>
      <c r="H1278" s="186" t="s">
        <v>132</v>
      </c>
      <c r="I1278" s="187" t="s">
        <v>133</v>
      </c>
      <c r="J1278" s="44" t="s">
        <v>16</v>
      </c>
      <c r="K1278" s="186" t="s">
        <v>132</v>
      </c>
      <c r="L1278" s="187" t="s">
        <v>133</v>
      </c>
      <c r="M1278" s="44" t="s">
        <v>16</v>
      </c>
      <c r="N1278" s="186" t="s">
        <v>132</v>
      </c>
      <c r="O1278" s="187" t="s">
        <v>133</v>
      </c>
      <c r="P1278" s="44" t="s">
        <v>16</v>
      </c>
      <c r="Q1278" s="186" t="s">
        <v>132</v>
      </c>
      <c r="R1278" s="187" t="s">
        <v>133</v>
      </c>
      <c r="S1278" s="44" t="s">
        <v>16</v>
      </c>
      <c r="T1278" s="186" t="s">
        <v>132</v>
      </c>
      <c r="U1278" s="187" t="s">
        <v>133</v>
      </c>
      <c r="V1278" s="44" t="s">
        <v>16</v>
      </c>
      <c r="W1278" s="186" t="s">
        <v>132</v>
      </c>
      <c r="X1278" s="187" t="s">
        <v>133</v>
      </c>
      <c r="Y1278" s="44" t="s">
        <v>16</v>
      </c>
      <c r="Z1278" s="186" t="s">
        <v>132</v>
      </c>
      <c r="AA1278" s="187" t="s">
        <v>133</v>
      </c>
      <c r="AB1278" s="44" t="s">
        <v>16</v>
      </c>
      <c r="AC1278" s="161"/>
      <c r="AD1278" s="161"/>
      <c r="AE1278" s="161"/>
      <c r="AF1278" s="163"/>
      <c r="AG1278" s="163"/>
      <c r="AH1278" s="162"/>
      <c r="AI1278" s="162"/>
      <c r="AJ1278" s="162"/>
    </row>
    <row r="1279" spans="1:36" s="41" customFormat="1" ht="14.25" customHeight="1" x14ac:dyDescent="0.2">
      <c r="A1279" s="98" t="s">
        <v>134</v>
      </c>
      <c r="B1279" s="31">
        <f>COUNTIFS(DATA!$AR$3:$AR$7183,1,DATA!$D$3:$D$7183,260)</f>
        <v>17</v>
      </c>
      <c r="C1279" s="35">
        <f>IF(B1283=0,0,+B1279/B1283)</f>
        <v>0.18888888888888888</v>
      </c>
      <c r="D1279" s="31">
        <f>COUNTIFS(DATA!$AR$3:$AR$7183,1,DATA!$D$3:$D$7183,280)</f>
        <v>4</v>
      </c>
      <c r="E1279" s="35">
        <f>+D1279/D1283</f>
        <v>0.11764705882352941</v>
      </c>
      <c r="F1279" s="31">
        <f>+D1279+B1279</f>
        <v>21</v>
      </c>
      <c r="G1279" s="35">
        <f>+F1279/F1283</f>
        <v>0.16935483870967741</v>
      </c>
      <c r="H1279" s="181">
        <v>8.6956521739130432E-2</v>
      </c>
      <c r="I1279" s="180">
        <v>0.19047619047619047</v>
      </c>
      <c r="J1279" s="182">
        <v>0.12612612612612611</v>
      </c>
      <c r="K1279" s="181">
        <v>0.14606741573033707</v>
      </c>
      <c r="L1279" s="180">
        <v>0.23636363636363636</v>
      </c>
      <c r="M1279" s="182">
        <v>0.18055555555555555</v>
      </c>
      <c r="N1279" s="181">
        <v>0.19108280254777071</v>
      </c>
      <c r="O1279" s="180">
        <v>0.22222222222222221</v>
      </c>
      <c r="P1279" s="182">
        <v>0.20168067226890757</v>
      </c>
      <c r="Q1279" s="181">
        <v>0.09</v>
      </c>
      <c r="R1279" s="180">
        <v>0.2</v>
      </c>
      <c r="S1279" s="182">
        <v>0.14000000000000001</v>
      </c>
      <c r="T1279" s="181">
        <v>0.13600000000000001</v>
      </c>
      <c r="U1279" s="180">
        <v>0.14864864864864866</v>
      </c>
      <c r="V1279" s="182">
        <v>0.1407035175879397</v>
      </c>
      <c r="W1279" s="181">
        <v>0.21875</v>
      </c>
      <c r="X1279" s="180">
        <v>0.2289156626506024</v>
      </c>
      <c r="Y1279" s="182">
        <v>0.22274881516587677</v>
      </c>
      <c r="Z1279" s="181">
        <v>9.7902097902097904E-2</v>
      </c>
      <c r="AA1279" s="180">
        <v>0.2413793103448276</v>
      </c>
      <c r="AB1279" s="182">
        <v>0.13930348258706468</v>
      </c>
    </row>
    <row r="1280" spans="1:36" s="41" customFormat="1" ht="14.25" customHeight="1" x14ac:dyDescent="0.2">
      <c r="A1280" s="99" t="s">
        <v>135</v>
      </c>
      <c r="B1280" s="31">
        <f>COUNTIFS(DATA!$AR$3:$AR$7183,2,DATA!$D$3:$D$7183,260)</f>
        <v>29</v>
      </c>
      <c r="C1280" s="35">
        <f>IF(B1283=0,0,+B1280/B1283)</f>
        <v>0.32222222222222224</v>
      </c>
      <c r="D1280" s="42">
        <f>COUNTIFS(DATA!$AR$3:$AR$7183,2,DATA!$D$3:$D$7183,280)</f>
        <v>14</v>
      </c>
      <c r="E1280" s="35">
        <f>+D1280/D1283</f>
        <v>0.41176470588235292</v>
      </c>
      <c r="F1280" s="42">
        <f t="shared" ref="F1280:F1282" si="128">+D1280+B1280</f>
        <v>43</v>
      </c>
      <c r="G1280" s="35">
        <f>+F1280/F1283</f>
        <v>0.34677419354838712</v>
      </c>
      <c r="H1280" s="181">
        <v>0.49275362318840582</v>
      </c>
      <c r="I1280" s="180">
        <v>0.40476190476190477</v>
      </c>
      <c r="J1280" s="182">
        <v>0.45945945945945948</v>
      </c>
      <c r="K1280" s="181">
        <v>0.4606741573033708</v>
      </c>
      <c r="L1280" s="180">
        <v>0.29090909090909089</v>
      </c>
      <c r="M1280" s="182">
        <v>0.39583333333333331</v>
      </c>
      <c r="N1280" s="181">
        <v>0.37579617834394907</v>
      </c>
      <c r="O1280" s="180">
        <v>0.43209876543209874</v>
      </c>
      <c r="P1280" s="182">
        <v>0.3949579831932773</v>
      </c>
      <c r="Q1280" s="181">
        <v>0.44</v>
      </c>
      <c r="R1280" s="180">
        <v>0.37</v>
      </c>
      <c r="S1280" s="182">
        <v>0.41</v>
      </c>
      <c r="T1280" s="181">
        <v>0.4</v>
      </c>
      <c r="U1280" s="180">
        <v>0.5</v>
      </c>
      <c r="V1280" s="182">
        <v>0.43718592964824121</v>
      </c>
      <c r="W1280" s="181">
        <v>0.3671875</v>
      </c>
      <c r="X1280" s="180">
        <v>0.50602409638554213</v>
      </c>
      <c r="Y1280" s="182">
        <v>0.4218009478672986</v>
      </c>
      <c r="Z1280" s="181">
        <v>0.44755244755244755</v>
      </c>
      <c r="AA1280" s="180">
        <v>0.27586206896551724</v>
      </c>
      <c r="AB1280" s="182">
        <v>0.39800995024875624</v>
      </c>
    </row>
    <row r="1281" spans="1:32" s="41" customFormat="1" ht="27.75" customHeight="1" x14ac:dyDescent="0.2">
      <c r="A1281" s="92" t="s">
        <v>94</v>
      </c>
      <c r="B1281" s="31">
        <f>COUNTIFS(DATA!$AR$3:$AR$7183,"3",DATA!$D$3:$D$7183,260)</f>
        <v>33</v>
      </c>
      <c r="C1281" s="35">
        <f>IF(B1283=0,0,+B1281/B1283)</f>
        <v>0.36666666666666664</v>
      </c>
      <c r="D1281" s="42">
        <f>COUNTIFS(DATA!$AR$3:$AR$7183,"3",DATA!$D$3:$D$7183,280)</f>
        <v>9</v>
      </c>
      <c r="E1281" s="35">
        <f>+D1281/D1283</f>
        <v>0.26470588235294118</v>
      </c>
      <c r="F1281" s="42">
        <f t="shared" si="128"/>
        <v>42</v>
      </c>
      <c r="G1281" s="35">
        <f>+F1281/F1283</f>
        <v>0.33870967741935482</v>
      </c>
      <c r="H1281" s="181">
        <v>0.2608695652173913</v>
      </c>
      <c r="I1281" s="180">
        <v>0.2857142857142857</v>
      </c>
      <c r="J1281" s="182">
        <v>0.27027027027027029</v>
      </c>
      <c r="K1281" s="181">
        <v>0.23595505617977527</v>
      </c>
      <c r="L1281" s="180">
        <v>0.21818181818181817</v>
      </c>
      <c r="M1281" s="182">
        <v>0.22916666666666666</v>
      </c>
      <c r="N1281" s="181">
        <v>0.33121019108280253</v>
      </c>
      <c r="O1281" s="180">
        <v>0.22222222222222221</v>
      </c>
      <c r="P1281" s="182">
        <v>0.29411764705882354</v>
      </c>
      <c r="Q1281" s="181">
        <v>0.3</v>
      </c>
      <c r="R1281" s="180">
        <v>0.18</v>
      </c>
      <c r="S1281" s="182">
        <v>0.25</v>
      </c>
      <c r="T1281" s="181">
        <v>0.30399999999999999</v>
      </c>
      <c r="U1281" s="180">
        <v>0.25675675675675674</v>
      </c>
      <c r="V1281" s="182">
        <v>0.28643216080402012</v>
      </c>
      <c r="W1281" s="181">
        <v>0.2578125</v>
      </c>
      <c r="X1281" s="180">
        <v>0.15662650602409639</v>
      </c>
      <c r="Y1281" s="182">
        <v>0.21800947867298578</v>
      </c>
      <c r="Z1281" s="181">
        <v>0.33566433566433568</v>
      </c>
      <c r="AA1281" s="180">
        <v>0.34482758620689657</v>
      </c>
      <c r="AB1281" s="182">
        <v>0.3383084577114428</v>
      </c>
    </row>
    <row r="1282" spans="1:32" s="41" customFormat="1" ht="29.25" customHeight="1" thickBot="1" x14ac:dyDescent="0.25">
      <c r="A1282" s="93" t="s">
        <v>39</v>
      </c>
      <c r="B1282" s="31">
        <f>COUNTIFS(DATA!$AR$3:$AR$7183,"4",DATA!$D$3:$D$7183,260)</f>
        <v>11</v>
      </c>
      <c r="C1282" s="35">
        <f>IF(B1283=0,0,+B1282/B1283)</f>
        <v>0.12222222222222222</v>
      </c>
      <c r="D1282" s="42">
        <f>COUNTIFS(DATA!$AR$3:$AR$7183,"4",DATA!$D$3:$D$7183,280)</f>
        <v>7</v>
      </c>
      <c r="E1282" s="35">
        <f>+D1282/D1283</f>
        <v>0.20588235294117646</v>
      </c>
      <c r="F1282" s="42">
        <f t="shared" si="128"/>
        <v>18</v>
      </c>
      <c r="G1282" s="35">
        <f>+F1282/F1283</f>
        <v>0.14516129032258066</v>
      </c>
      <c r="H1282" s="181">
        <v>0.15942028985507245</v>
      </c>
      <c r="I1282" s="180">
        <v>0.11904761904761904</v>
      </c>
      <c r="J1282" s="182">
        <v>0.14414414414414414</v>
      </c>
      <c r="K1282" s="181">
        <v>0.15730337078651685</v>
      </c>
      <c r="L1282" s="180">
        <v>0.25454545454545452</v>
      </c>
      <c r="M1282" s="182">
        <v>0.19444444444444445</v>
      </c>
      <c r="N1282" s="181">
        <v>0.10191082802547771</v>
      </c>
      <c r="O1282" s="180">
        <v>0.12345679012345678</v>
      </c>
      <c r="P1282" s="182">
        <v>0.1092436974789916</v>
      </c>
      <c r="Q1282" s="181">
        <v>0.16</v>
      </c>
      <c r="R1282" s="180">
        <v>0.26</v>
      </c>
      <c r="S1282" s="182">
        <v>0.2</v>
      </c>
      <c r="T1282" s="181">
        <v>0.16</v>
      </c>
      <c r="U1282" s="180">
        <v>9.45945945945946E-2</v>
      </c>
      <c r="V1282" s="182">
        <v>0.135678391959799</v>
      </c>
      <c r="W1282" s="181">
        <v>0.15625</v>
      </c>
      <c r="X1282" s="180">
        <v>0.10843373493975904</v>
      </c>
      <c r="Y1282" s="182">
        <v>0.13744075829383887</v>
      </c>
      <c r="Z1282" s="181">
        <v>0.11888111888111888</v>
      </c>
      <c r="AA1282" s="180">
        <v>0.13793103448275862</v>
      </c>
      <c r="AB1282" s="182">
        <v>0.12437810945273632</v>
      </c>
    </row>
    <row r="1283" spans="1:32" s="41" customFormat="1" ht="15.75" thickBot="1" x14ac:dyDescent="0.3">
      <c r="A1283" s="111" t="s">
        <v>16</v>
      </c>
      <c r="B1283" s="101">
        <f>SUM(B1279:B1282)</f>
        <v>90</v>
      </c>
      <c r="C1283" s="114">
        <f>IF(B1283=0,0,+B1283/B1283)</f>
        <v>1</v>
      </c>
      <c r="D1283" s="101">
        <f>SUM(D1279:D1282)</f>
        <v>34</v>
      </c>
      <c r="E1283" s="114">
        <f>+D1283/D1283</f>
        <v>1</v>
      </c>
      <c r="F1283" s="101">
        <f>SUM(F1279:F1282)</f>
        <v>124</v>
      </c>
      <c r="G1283" s="114">
        <f>+F1283/F1283</f>
        <v>1</v>
      </c>
      <c r="H1283" s="183">
        <v>1</v>
      </c>
      <c r="I1283" s="184">
        <v>1</v>
      </c>
      <c r="J1283" s="185">
        <v>1</v>
      </c>
      <c r="K1283" s="183">
        <v>1</v>
      </c>
      <c r="L1283" s="184">
        <v>1</v>
      </c>
      <c r="M1283" s="185">
        <v>1</v>
      </c>
      <c r="N1283" s="183">
        <v>1</v>
      </c>
      <c r="O1283" s="184">
        <v>1</v>
      </c>
      <c r="P1283" s="185">
        <v>1</v>
      </c>
      <c r="Q1283" s="183">
        <v>1</v>
      </c>
      <c r="R1283" s="184">
        <v>1</v>
      </c>
      <c r="S1283" s="185">
        <v>1</v>
      </c>
      <c r="T1283" s="183">
        <v>1</v>
      </c>
      <c r="U1283" s="184">
        <v>1</v>
      </c>
      <c r="V1283" s="185">
        <v>1</v>
      </c>
      <c r="W1283" s="183">
        <v>1</v>
      </c>
      <c r="X1283" s="184">
        <v>1</v>
      </c>
      <c r="Y1283" s="185">
        <v>1</v>
      </c>
      <c r="Z1283" s="183">
        <v>1</v>
      </c>
      <c r="AA1283" s="184">
        <v>1</v>
      </c>
      <c r="AB1283" s="185">
        <v>1</v>
      </c>
      <c r="AF1283" s="162"/>
    </row>
    <row r="1284" spans="1:32" s="41" customFormat="1" x14ac:dyDescent="0.2">
      <c r="N1284" s="162"/>
    </row>
    <row r="1285" spans="1:32" s="41" customFormat="1" x14ac:dyDescent="0.2">
      <c r="N1285" s="162"/>
    </row>
    <row r="1286" spans="1:32" s="41" customFormat="1" x14ac:dyDescent="0.2">
      <c r="N1286" s="162"/>
    </row>
    <row r="1287" spans="1:32" s="41" customFormat="1" x14ac:dyDescent="0.2">
      <c r="K1287" s="221" t="s">
        <v>7193</v>
      </c>
      <c r="L1287" s="219"/>
      <c r="M1287" s="219"/>
      <c r="N1287" s="219"/>
      <c r="O1287" s="219"/>
      <c r="P1287" s="219"/>
      <c r="Q1287" s="219"/>
      <c r="R1287" s="219"/>
    </row>
    <row r="1288" spans="1:32" s="41" customFormat="1" x14ac:dyDescent="0.2">
      <c r="K1288" s="219" t="s">
        <v>7194</v>
      </c>
      <c r="L1288" s="219"/>
      <c r="M1288" s="219"/>
      <c r="N1288" s="219"/>
      <c r="O1288" s="219"/>
      <c r="P1288" s="219"/>
      <c r="Q1288" s="219"/>
      <c r="R1288" s="219"/>
    </row>
    <row r="1289" spans="1:32" s="41" customFormat="1" ht="14.25" customHeight="1" x14ac:dyDescent="0.2">
      <c r="K1289" s="219"/>
      <c r="L1289" s="219"/>
      <c r="M1289" s="219"/>
      <c r="N1289" s="219"/>
      <c r="O1289" s="219"/>
      <c r="P1289" s="219"/>
      <c r="Q1289" s="219"/>
      <c r="R1289" s="219"/>
    </row>
    <row r="1290" spans="1:32" s="41" customFormat="1" x14ac:dyDescent="0.2">
      <c r="K1290" s="214" t="s">
        <v>7195</v>
      </c>
      <c r="L1290" s="215"/>
      <c r="M1290" s="215"/>
      <c r="N1290" s="215"/>
      <c r="O1290" s="215"/>
      <c r="P1290" s="215"/>
      <c r="Q1290" s="215"/>
      <c r="R1290" s="279"/>
    </row>
    <row r="1291" spans="1:32" s="41" customFormat="1" ht="14.25" customHeight="1" x14ac:dyDescent="0.2">
      <c r="K1291" s="215" t="s">
        <v>7196</v>
      </c>
      <c r="L1291" s="215"/>
      <c r="M1291" s="215"/>
      <c r="N1291" s="215"/>
      <c r="O1291" s="215"/>
      <c r="P1291" s="215"/>
      <c r="Q1291" s="215"/>
      <c r="R1291" s="215"/>
    </row>
    <row r="1292" spans="1:32" s="41" customFormat="1" x14ac:dyDescent="0.2">
      <c r="K1292" s="215"/>
      <c r="L1292" s="215"/>
      <c r="M1292" s="215"/>
      <c r="N1292" s="215"/>
      <c r="O1292" s="215"/>
      <c r="P1292" s="215"/>
      <c r="Q1292" s="215"/>
      <c r="R1292" s="215"/>
    </row>
    <row r="1293" spans="1:32" s="41" customFormat="1" ht="14.25" customHeight="1" x14ac:dyDescent="0.2"/>
    <row r="1294" spans="1:32" s="41" customFormat="1" x14ac:dyDescent="0.2"/>
    <row r="1295" spans="1:32" s="41" customFormat="1" x14ac:dyDescent="0.2">
      <c r="N1295" s="162"/>
    </row>
    <row r="1296" spans="1:32" s="41" customFormat="1" x14ac:dyDescent="0.2">
      <c r="N1296" s="162"/>
    </row>
    <row r="1297" spans="1:32" s="41" customFormat="1" x14ac:dyDescent="0.2">
      <c r="N1297" s="162"/>
    </row>
    <row r="1298" spans="1:32" s="41" customFormat="1" x14ac:dyDescent="0.2">
      <c r="N1298" s="162"/>
    </row>
    <row r="1299" spans="1:32" s="41" customFormat="1" x14ac:dyDescent="0.2">
      <c r="N1299" s="162"/>
    </row>
    <row r="1300" spans="1:32" s="41" customFormat="1" x14ac:dyDescent="0.2">
      <c r="N1300" s="162"/>
    </row>
    <row r="1301" spans="1:32" s="41" customFormat="1" x14ac:dyDescent="0.2">
      <c r="N1301" s="162"/>
    </row>
    <row r="1302" spans="1:32" s="41" customFormat="1" x14ac:dyDescent="0.2">
      <c r="N1302" s="162"/>
    </row>
    <row r="1303" spans="1:32" s="41" customFormat="1" x14ac:dyDescent="0.2">
      <c r="N1303" s="162"/>
    </row>
    <row r="1304" spans="1:32" s="41" customFormat="1" x14ac:dyDescent="0.2">
      <c r="N1304" s="162"/>
    </row>
    <row r="1305" spans="1:32" s="41" customFormat="1" x14ac:dyDescent="0.2">
      <c r="N1305" s="162"/>
    </row>
    <row r="1306" spans="1:32" s="41" customFormat="1" x14ac:dyDescent="0.2">
      <c r="N1306" s="162"/>
    </row>
    <row r="1307" spans="1:32" s="41" customFormat="1" x14ac:dyDescent="0.2">
      <c r="N1307" s="162"/>
    </row>
    <row r="1308" spans="1:32" s="41" customFormat="1" x14ac:dyDescent="0.2">
      <c r="N1308" s="162"/>
    </row>
    <row r="1309" spans="1:32" s="41" customFormat="1" x14ac:dyDescent="0.2">
      <c r="N1309" s="162"/>
    </row>
    <row r="1310" spans="1:32" s="41" customFormat="1" ht="15" thickBot="1" x14ac:dyDescent="0.25">
      <c r="N1310" s="162"/>
    </row>
    <row r="1311" spans="1:32" s="41" customFormat="1" ht="42" customHeight="1" thickBot="1" x14ac:dyDescent="0.25">
      <c r="A1311" s="240" t="s">
        <v>168</v>
      </c>
      <c r="B1311" s="241"/>
      <c r="C1311" s="241"/>
      <c r="D1311" s="241"/>
      <c r="E1311" s="241"/>
      <c r="F1311" s="241"/>
      <c r="G1311" s="242"/>
      <c r="H1311" s="74"/>
      <c r="I1311" s="74"/>
      <c r="J1311" s="74"/>
      <c r="K1311" s="74"/>
      <c r="N1311" s="162"/>
    </row>
    <row r="1312" spans="1:32" s="41" customFormat="1" ht="15.75" thickBot="1" x14ac:dyDescent="0.3">
      <c r="A1312" s="28"/>
      <c r="B1312" s="234" t="str">
        <f>+B73</f>
        <v>Successful</v>
      </c>
      <c r="C1312" s="235"/>
      <c r="D1312" s="236" t="str">
        <f>+D73</f>
        <v>Unsuccessful</v>
      </c>
      <c r="E1312" s="237"/>
      <c r="F1312" s="238" t="s">
        <v>16</v>
      </c>
      <c r="G1312" s="239"/>
      <c r="H1312" s="206">
        <f>+H73</f>
        <v>2021</v>
      </c>
      <c r="I1312" s="207"/>
      <c r="J1312" s="208"/>
      <c r="K1312" s="206">
        <f>+K73</f>
        <v>2020</v>
      </c>
      <c r="L1312" s="207"/>
      <c r="M1312" s="208"/>
      <c r="N1312" s="206">
        <f>+N73</f>
        <v>2019</v>
      </c>
      <c r="O1312" s="207"/>
      <c r="P1312" s="208"/>
      <c r="Q1312" s="206">
        <f>+Q73</f>
        <v>2018</v>
      </c>
      <c r="R1312" s="207"/>
      <c r="S1312" s="208"/>
      <c r="T1312" s="206">
        <f>+T73</f>
        <v>2017</v>
      </c>
      <c r="U1312" s="207"/>
      <c r="V1312" s="208"/>
      <c r="W1312" s="209">
        <f>+W73</f>
        <v>2016</v>
      </c>
      <c r="X1312" s="210"/>
      <c r="Y1312" s="211"/>
      <c r="Z1312" s="209">
        <f>+Z73</f>
        <v>2015</v>
      </c>
      <c r="AA1312" s="210"/>
      <c r="AB1312" s="211"/>
      <c r="AC1312" s="165"/>
      <c r="AF1312" s="162"/>
    </row>
    <row r="1313" spans="1:32" s="41" customFormat="1" ht="29.25" customHeight="1" thickBot="1" x14ac:dyDescent="0.25">
      <c r="A1313" s="28"/>
      <c r="B1313" s="29" t="s">
        <v>37</v>
      </c>
      <c r="C1313" s="30" t="s">
        <v>38</v>
      </c>
      <c r="D1313" s="29" t="s">
        <v>37</v>
      </c>
      <c r="E1313" s="30" t="s">
        <v>38</v>
      </c>
      <c r="F1313" s="29" t="s">
        <v>37</v>
      </c>
      <c r="G1313" s="30" t="s">
        <v>38</v>
      </c>
      <c r="H1313" s="186" t="s">
        <v>132</v>
      </c>
      <c r="I1313" s="187" t="s">
        <v>133</v>
      </c>
      <c r="J1313" s="44" t="s">
        <v>16</v>
      </c>
      <c r="K1313" s="186" t="s">
        <v>132</v>
      </c>
      <c r="L1313" s="187" t="s">
        <v>133</v>
      </c>
      <c r="M1313" s="44" t="s">
        <v>16</v>
      </c>
      <c r="N1313" s="186" t="s">
        <v>132</v>
      </c>
      <c r="O1313" s="187" t="s">
        <v>133</v>
      </c>
      <c r="P1313" s="44" t="s">
        <v>16</v>
      </c>
      <c r="Q1313" s="186" t="s">
        <v>132</v>
      </c>
      <c r="R1313" s="187" t="s">
        <v>133</v>
      </c>
      <c r="S1313" s="44" t="s">
        <v>16</v>
      </c>
      <c r="T1313" s="186" t="s">
        <v>132</v>
      </c>
      <c r="U1313" s="187" t="s">
        <v>133</v>
      </c>
      <c r="V1313" s="44" t="s">
        <v>16</v>
      </c>
      <c r="W1313" s="186" t="s">
        <v>132</v>
      </c>
      <c r="X1313" s="187" t="s">
        <v>133</v>
      </c>
      <c r="Y1313" s="44" t="s">
        <v>16</v>
      </c>
      <c r="Z1313" s="186" t="s">
        <v>132</v>
      </c>
      <c r="AA1313" s="187" t="s">
        <v>133</v>
      </c>
      <c r="AB1313" s="44" t="s">
        <v>16</v>
      </c>
    </row>
    <row r="1314" spans="1:32" s="41" customFormat="1" ht="27.75" customHeight="1" x14ac:dyDescent="0.2">
      <c r="A1314" s="98" t="s">
        <v>134</v>
      </c>
      <c r="B1314" s="31">
        <f>COUNTIFS(DATA!$AS$3:$AS$7183,1,DATA!$D$3:$D$7183,260)</f>
        <v>26</v>
      </c>
      <c r="C1314" s="35">
        <f>+B1314/$B$1319</f>
        <v>0.11353711790393013</v>
      </c>
      <c r="D1314" s="31">
        <f>COUNTIFS(DATA!$AS$3:$AS$7183,1,DATA!$D$3:$D$7183,280)</f>
        <v>21</v>
      </c>
      <c r="E1314" s="35">
        <f>+D1314/$D$1319</f>
        <v>0.21649484536082475</v>
      </c>
      <c r="F1314" s="31">
        <f>+D1314+B1314</f>
        <v>47</v>
      </c>
      <c r="G1314" s="35">
        <f>+F1314/$F$1319</f>
        <v>0.14417177914110429</v>
      </c>
      <c r="H1314" s="181">
        <v>0.10628019323671498</v>
      </c>
      <c r="I1314" s="180">
        <v>0.17391304347826086</v>
      </c>
      <c r="J1314" s="182">
        <v>0.12709030100334448</v>
      </c>
      <c r="K1314" s="181">
        <v>0.11646586345381527</v>
      </c>
      <c r="L1314" s="180">
        <v>0.24087591240875914</v>
      </c>
      <c r="M1314" s="182">
        <v>0.16062176165803108</v>
      </c>
      <c r="N1314" s="181">
        <v>0.11299435028248588</v>
      </c>
      <c r="O1314" s="180">
        <v>0.25</v>
      </c>
      <c r="P1314" s="182">
        <v>0.1556420233463035</v>
      </c>
      <c r="Q1314" s="181">
        <v>0.12</v>
      </c>
      <c r="R1314" s="180">
        <v>0.32</v>
      </c>
      <c r="S1314" s="182">
        <v>0.18</v>
      </c>
      <c r="T1314" s="181">
        <v>0.14478114478114479</v>
      </c>
      <c r="U1314" s="180">
        <v>0.22699386503067484</v>
      </c>
      <c r="V1314" s="182">
        <v>0.17391304347826086</v>
      </c>
      <c r="W1314" s="181">
        <v>0.12023460410557185</v>
      </c>
      <c r="X1314" s="180">
        <v>0.27083333333333331</v>
      </c>
      <c r="Y1314" s="182">
        <v>0.16494845360824742</v>
      </c>
      <c r="Z1314" s="181">
        <v>0.12345679012345678</v>
      </c>
      <c r="AA1314" s="180">
        <v>0.24299065420560748</v>
      </c>
      <c r="AB1314" s="182">
        <v>0.1531322505800464</v>
      </c>
    </row>
    <row r="1315" spans="1:32" s="41" customFormat="1" ht="27.75" customHeight="1" x14ac:dyDescent="0.2">
      <c r="A1315" s="92" t="s">
        <v>89</v>
      </c>
      <c r="B1315" s="31">
        <f>COUNTIFS(DATA!$AS$3:$AS$7183,2,DATA!$D$3:$D$7183,260)</f>
        <v>22</v>
      </c>
      <c r="C1315" s="35">
        <f t="shared" ref="C1315:C1318" si="129">+B1315/$B$1319</f>
        <v>9.606986899563319E-2</v>
      </c>
      <c r="D1315" s="42">
        <f>COUNTIFS(DATA!$AS$3:$AS$7183,2,DATA!$D$3:$D$7183,280)</f>
        <v>7</v>
      </c>
      <c r="E1315" s="35">
        <f t="shared" ref="E1315:E1318" si="130">+D1315/$D$1319</f>
        <v>7.2164948453608241E-2</v>
      </c>
      <c r="F1315" s="42">
        <f t="shared" ref="F1315:F1317" si="131">+D1315+B1315</f>
        <v>29</v>
      </c>
      <c r="G1315" s="35">
        <f t="shared" ref="G1315:G1318" si="132">+F1315/$F$1319</f>
        <v>8.8957055214723926E-2</v>
      </c>
      <c r="H1315" s="181">
        <v>8.6956521739130432E-2</v>
      </c>
      <c r="I1315" s="180">
        <v>9.7826086956521743E-2</v>
      </c>
      <c r="J1315" s="182">
        <v>9.0301003344481601E-2</v>
      </c>
      <c r="K1315" s="181">
        <v>4.8192771084337352E-2</v>
      </c>
      <c r="L1315" s="180">
        <v>0.12408759124087591</v>
      </c>
      <c r="M1315" s="182">
        <v>7.512953367875648E-2</v>
      </c>
      <c r="N1315" s="181">
        <v>7.6271186440677971E-2</v>
      </c>
      <c r="O1315" s="180">
        <v>0.14374999999999999</v>
      </c>
      <c r="P1315" s="182">
        <v>9.727626459143969E-2</v>
      </c>
      <c r="Q1315" s="181">
        <v>7.0000000000000007E-2</v>
      </c>
      <c r="R1315" s="180">
        <v>0.1</v>
      </c>
      <c r="S1315" s="182">
        <v>0.08</v>
      </c>
      <c r="T1315" s="181">
        <v>0.10437710437710437</v>
      </c>
      <c r="U1315" s="180">
        <v>9.202453987730061E-2</v>
      </c>
      <c r="V1315" s="182">
        <v>0.1</v>
      </c>
      <c r="W1315" s="181">
        <v>6.7448680351906154E-2</v>
      </c>
      <c r="X1315" s="180">
        <v>0.14583333333333334</v>
      </c>
      <c r="Y1315" s="182">
        <v>9.0721649484536079E-2</v>
      </c>
      <c r="Z1315" s="181">
        <v>9.2592592592592587E-2</v>
      </c>
      <c r="AA1315" s="180">
        <v>0.16822429906542055</v>
      </c>
      <c r="AB1315" s="182">
        <v>0.11136890951276102</v>
      </c>
    </row>
    <row r="1316" spans="1:32" s="41" customFormat="1" x14ac:dyDescent="0.2">
      <c r="A1316" s="92" t="s">
        <v>90</v>
      </c>
      <c r="B1316" s="31">
        <f>COUNTIFS(DATA!$AS$3:$AS$7183,"3",DATA!$D$3:$D$7183,260)</f>
        <v>23</v>
      </c>
      <c r="C1316" s="35">
        <f t="shared" si="129"/>
        <v>0.10043668122270742</v>
      </c>
      <c r="D1316" s="42">
        <f>COUNTIFS(DATA!$AS$3:$AS$7183,"3",DATA!$D$3:$D$7183,280)</f>
        <v>16</v>
      </c>
      <c r="E1316" s="35">
        <f t="shared" si="130"/>
        <v>0.16494845360824742</v>
      </c>
      <c r="F1316" s="42">
        <f t="shared" si="131"/>
        <v>39</v>
      </c>
      <c r="G1316" s="35">
        <f t="shared" si="132"/>
        <v>0.1196319018404908</v>
      </c>
      <c r="H1316" s="181">
        <v>0.15942028985507245</v>
      </c>
      <c r="I1316" s="180">
        <v>0.14130434782608695</v>
      </c>
      <c r="J1316" s="182">
        <v>0.15384615384615385</v>
      </c>
      <c r="K1316" s="181">
        <v>8.0321285140562249E-2</v>
      </c>
      <c r="L1316" s="180">
        <v>8.7591240875912413E-2</v>
      </c>
      <c r="M1316" s="182">
        <v>8.2901554404145081E-2</v>
      </c>
      <c r="N1316" s="181">
        <v>0.14971751412429379</v>
      </c>
      <c r="O1316" s="180">
        <v>6.8750000000000006E-2</v>
      </c>
      <c r="P1316" s="182">
        <v>0.1245136186770428</v>
      </c>
      <c r="Q1316" s="181">
        <v>0.11</v>
      </c>
      <c r="R1316" s="180">
        <v>0.12</v>
      </c>
      <c r="S1316" s="182">
        <v>0.11</v>
      </c>
      <c r="T1316" s="181">
        <v>9.7643097643097643E-2</v>
      </c>
      <c r="U1316" s="180">
        <v>8.5889570552147243E-2</v>
      </c>
      <c r="V1316" s="182">
        <v>9.3478260869565219E-2</v>
      </c>
      <c r="W1316" s="181">
        <v>9.6774193548387094E-2</v>
      </c>
      <c r="X1316" s="180">
        <v>0.15972222222222221</v>
      </c>
      <c r="Y1316" s="182">
        <v>0.1154639175257732</v>
      </c>
      <c r="Z1316" s="181">
        <v>0.12654320987654322</v>
      </c>
      <c r="AA1316" s="180">
        <v>7.476635514018691E-2</v>
      </c>
      <c r="AB1316" s="182">
        <v>0.1136890951276102</v>
      </c>
    </row>
    <row r="1317" spans="1:32" s="41" customFormat="1" ht="28.5" customHeight="1" x14ac:dyDescent="0.2">
      <c r="A1317" s="82" t="s">
        <v>91</v>
      </c>
      <c r="B1317" s="31">
        <f>COUNTIFS(DATA!$AS$3:$AS$7183,"4",DATA!$D$3:$D$7183,260)</f>
        <v>137</v>
      </c>
      <c r="C1317" s="35">
        <f t="shared" si="129"/>
        <v>0.59825327510917026</v>
      </c>
      <c r="D1317" s="42">
        <f>COUNTIFS(DATA!$AS$3:$AS$7183,"4",DATA!$D$3:$D$7183,280)</f>
        <v>45</v>
      </c>
      <c r="E1317" s="35">
        <f t="shared" si="130"/>
        <v>0.46391752577319589</v>
      </c>
      <c r="F1317" s="42">
        <f t="shared" si="131"/>
        <v>182</v>
      </c>
      <c r="G1317" s="35">
        <f t="shared" si="132"/>
        <v>0.55828220858895705</v>
      </c>
      <c r="H1317" s="181">
        <v>0.57004830917874394</v>
      </c>
      <c r="I1317" s="180">
        <v>0.42391304347826086</v>
      </c>
      <c r="J1317" s="182">
        <v>0.52508361204013376</v>
      </c>
      <c r="K1317" s="181">
        <v>0.67871485943775101</v>
      </c>
      <c r="L1317" s="180">
        <v>0.47445255474452552</v>
      </c>
      <c r="M1317" s="182">
        <v>0.60621761658031093</v>
      </c>
      <c r="N1317" s="181">
        <v>0.596045197740113</v>
      </c>
      <c r="O1317" s="180">
        <v>0.43125000000000002</v>
      </c>
      <c r="P1317" s="182">
        <v>0.54474708171206221</v>
      </c>
      <c r="Q1317" s="181">
        <v>0.62</v>
      </c>
      <c r="R1317" s="180">
        <v>0.33</v>
      </c>
      <c r="S1317" s="182">
        <v>0.53</v>
      </c>
      <c r="T1317" s="181">
        <v>0.60269360269360273</v>
      </c>
      <c r="U1317" s="180">
        <v>0.50920245398773001</v>
      </c>
      <c r="V1317" s="182">
        <v>0.56956521739130439</v>
      </c>
      <c r="W1317" s="181">
        <v>0.62463343108504399</v>
      </c>
      <c r="X1317" s="180">
        <v>0.31944444444444442</v>
      </c>
      <c r="Y1317" s="182">
        <v>0.53402061855670102</v>
      </c>
      <c r="Z1317" s="181">
        <v>0.59</v>
      </c>
      <c r="AA1317" s="180">
        <v>0.40186915887850466</v>
      </c>
      <c r="AB1317" s="182">
        <v>0.54988399071925753</v>
      </c>
    </row>
    <row r="1318" spans="1:32" s="41" customFormat="1" ht="28.5" customHeight="1" thickBot="1" x14ac:dyDescent="0.25">
      <c r="A1318" s="93" t="s">
        <v>39</v>
      </c>
      <c r="B1318" s="31">
        <f>COUNTIFS(DATA!$AS$3:$AS$7183,"5",DATA!$D$3:$D$7183,260)</f>
        <v>21</v>
      </c>
      <c r="C1318" s="35">
        <f t="shared" si="129"/>
        <v>9.1703056768558958E-2</v>
      </c>
      <c r="D1318" s="42">
        <f>COUNTIFS(DATA!$AS$3:$AS$7183,"5",DATA!$D$3:$D$7183,280)</f>
        <v>8</v>
      </c>
      <c r="E1318" s="35">
        <f t="shared" si="130"/>
        <v>8.247422680412371E-2</v>
      </c>
      <c r="F1318" s="42">
        <f t="shared" ref="F1318" si="133">+D1318+B1318</f>
        <v>29</v>
      </c>
      <c r="G1318" s="35">
        <f t="shared" si="132"/>
        <v>8.8957055214723926E-2</v>
      </c>
      <c r="H1318" s="181">
        <v>7.7294685990338161E-2</v>
      </c>
      <c r="I1318" s="180">
        <v>0.16304347826086957</v>
      </c>
      <c r="J1318" s="182">
        <v>0.10367892976588629</v>
      </c>
      <c r="K1318" s="181">
        <v>7.6305220883534142E-2</v>
      </c>
      <c r="L1318" s="180">
        <v>7.2992700729927001E-2</v>
      </c>
      <c r="M1318" s="182">
        <v>7.512953367875648E-2</v>
      </c>
      <c r="N1318" s="181">
        <v>6.4971751412429377E-2</v>
      </c>
      <c r="O1318" s="180">
        <v>0.10625</v>
      </c>
      <c r="P1318" s="182">
        <v>7.7821011673151752E-2</v>
      </c>
      <c r="Q1318" s="181">
        <v>0.09</v>
      </c>
      <c r="R1318" s="180">
        <v>0.12</v>
      </c>
      <c r="S1318" s="182">
        <v>0.1</v>
      </c>
      <c r="T1318" s="181">
        <v>5.0505050505050504E-2</v>
      </c>
      <c r="U1318" s="180">
        <v>8.5889570552147243E-2</v>
      </c>
      <c r="V1318" s="182">
        <v>6.3043478260869562E-2</v>
      </c>
      <c r="W1318" s="181">
        <v>9.0909090909090912E-2</v>
      </c>
      <c r="X1318" s="180">
        <v>0.10416666666666667</v>
      </c>
      <c r="Y1318" s="182">
        <v>9.4845360824742264E-2</v>
      </c>
      <c r="Z1318" s="181">
        <v>5.8641975308641972E-2</v>
      </c>
      <c r="AA1318" s="180">
        <v>0.12</v>
      </c>
      <c r="AB1318" s="182">
        <v>0.08</v>
      </c>
    </row>
    <row r="1319" spans="1:32" s="41" customFormat="1" ht="15.75" thickBot="1" x14ac:dyDescent="0.3">
      <c r="A1319" s="111" t="s">
        <v>16</v>
      </c>
      <c r="B1319" s="101">
        <f>SUM(B1314:B1318)</f>
        <v>229</v>
      </c>
      <c r="C1319" s="114">
        <f>+B1319/$B$1319</f>
        <v>1</v>
      </c>
      <c r="D1319" s="101">
        <f>SUM(D1314:D1318)</f>
        <v>97</v>
      </c>
      <c r="E1319" s="114">
        <f>+D1319/$D$1319</f>
        <v>1</v>
      </c>
      <c r="F1319" s="101">
        <f>SUM(F1314:F1318)</f>
        <v>326</v>
      </c>
      <c r="G1319" s="114">
        <f>+F1319/$F$1319</f>
        <v>1</v>
      </c>
      <c r="H1319" s="183">
        <v>1</v>
      </c>
      <c r="I1319" s="184">
        <v>1</v>
      </c>
      <c r="J1319" s="185">
        <v>1</v>
      </c>
      <c r="K1319" s="183">
        <v>1</v>
      </c>
      <c r="L1319" s="184">
        <v>1</v>
      </c>
      <c r="M1319" s="185">
        <v>1</v>
      </c>
      <c r="N1319" s="183">
        <v>1</v>
      </c>
      <c r="O1319" s="184">
        <v>1</v>
      </c>
      <c r="P1319" s="185">
        <v>1</v>
      </c>
      <c r="Q1319" s="183">
        <v>1</v>
      </c>
      <c r="R1319" s="184">
        <v>1</v>
      </c>
      <c r="S1319" s="185">
        <v>1</v>
      </c>
      <c r="T1319" s="183">
        <v>1</v>
      </c>
      <c r="U1319" s="184">
        <v>1</v>
      </c>
      <c r="V1319" s="185">
        <v>1</v>
      </c>
      <c r="W1319" s="183">
        <v>1</v>
      </c>
      <c r="X1319" s="184">
        <v>1</v>
      </c>
      <c r="Y1319" s="185">
        <v>1</v>
      </c>
      <c r="Z1319" s="183">
        <v>1</v>
      </c>
      <c r="AA1319" s="184">
        <v>1</v>
      </c>
      <c r="AB1319" s="185">
        <v>1</v>
      </c>
      <c r="AF1319" s="162"/>
    </row>
    <row r="1320" spans="1:32" s="41" customFormat="1" x14ac:dyDescent="0.2">
      <c r="N1320" s="162"/>
    </row>
    <row r="1321" spans="1:32" s="41" customFormat="1" ht="14.25" customHeight="1" x14ac:dyDescent="0.2">
      <c r="K1321" s="218" t="s">
        <v>141</v>
      </c>
      <c r="L1321" s="218"/>
      <c r="M1321" s="218"/>
      <c r="N1321" s="218"/>
      <c r="O1321" s="218"/>
      <c r="P1321" s="218"/>
      <c r="Q1321" s="218"/>
      <c r="R1321" s="218"/>
    </row>
    <row r="1322" spans="1:32" s="41" customFormat="1" x14ac:dyDescent="0.2">
      <c r="K1322" s="218"/>
      <c r="L1322" s="218"/>
      <c r="M1322" s="218"/>
      <c r="N1322" s="218"/>
      <c r="O1322" s="218"/>
      <c r="P1322" s="218"/>
      <c r="Q1322" s="218"/>
      <c r="R1322" s="218"/>
    </row>
    <row r="1323" spans="1:32" s="41" customFormat="1" x14ac:dyDescent="0.2">
      <c r="K1323" s="221" t="s">
        <v>7197</v>
      </c>
      <c r="L1323" s="219"/>
      <c r="M1323" s="219"/>
      <c r="N1323" s="219"/>
      <c r="O1323" s="219"/>
      <c r="P1323" s="219"/>
      <c r="Q1323" s="219"/>
      <c r="R1323" s="219"/>
    </row>
    <row r="1324" spans="1:32" s="41" customFormat="1" x14ac:dyDescent="0.2">
      <c r="K1324" s="219" t="s">
        <v>7198</v>
      </c>
      <c r="L1324" s="219"/>
      <c r="M1324" s="219"/>
      <c r="N1324" s="219"/>
      <c r="O1324" s="219"/>
      <c r="P1324" s="219"/>
      <c r="Q1324" s="219"/>
      <c r="R1324" s="219"/>
    </row>
    <row r="1325" spans="1:32" s="41" customFormat="1" x14ac:dyDescent="0.2">
      <c r="K1325" s="219"/>
      <c r="L1325" s="219"/>
      <c r="M1325" s="219"/>
      <c r="N1325" s="219"/>
      <c r="O1325" s="219"/>
      <c r="P1325" s="219"/>
      <c r="Q1325" s="219"/>
      <c r="R1325" s="219"/>
    </row>
    <row r="1326" spans="1:32" s="41" customFormat="1" x14ac:dyDescent="0.2">
      <c r="K1326" s="214" t="s">
        <v>7199</v>
      </c>
      <c r="L1326" s="215"/>
      <c r="M1326" s="215"/>
      <c r="N1326" s="215"/>
      <c r="O1326" s="215"/>
      <c r="P1326" s="215"/>
      <c r="Q1326" s="215"/>
      <c r="R1326" s="215"/>
    </row>
    <row r="1327" spans="1:32" s="41" customFormat="1" ht="14.25" customHeight="1" x14ac:dyDescent="0.2">
      <c r="K1327" s="215" t="s">
        <v>7200</v>
      </c>
      <c r="L1327" s="215"/>
      <c r="M1327" s="215"/>
      <c r="N1327" s="215"/>
      <c r="O1327" s="215"/>
      <c r="P1327" s="215"/>
      <c r="Q1327" s="215"/>
      <c r="R1327" s="215"/>
    </row>
    <row r="1328" spans="1:32" s="41" customFormat="1" x14ac:dyDescent="0.2">
      <c r="K1328" s="215"/>
      <c r="L1328" s="215"/>
      <c r="M1328" s="215"/>
      <c r="N1328" s="215"/>
      <c r="O1328" s="215"/>
      <c r="P1328" s="215"/>
      <c r="Q1328" s="215"/>
      <c r="R1328" s="215"/>
    </row>
    <row r="1329" spans="14:14" s="41" customFormat="1" ht="14.25" customHeight="1" x14ac:dyDescent="0.2"/>
    <row r="1330" spans="14:14" s="41" customFormat="1" x14ac:dyDescent="0.2"/>
    <row r="1331" spans="14:14" s="41" customFormat="1" x14ac:dyDescent="0.2">
      <c r="N1331" s="162"/>
    </row>
    <row r="1332" spans="14:14" s="41" customFormat="1" x14ac:dyDescent="0.2">
      <c r="N1332" s="162"/>
    </row>
    <row r="1333" spans="14:14" s="41" customFormat="1" x14ac:dyDescent="0.2">
      <c r="N1333" s="162"/>
    </row>
    <row r="1334" spans="14:14" s="41" customFormat="1" x14ac:dyDescent="0.2">
      <c r="N1334" s="162"/>
    </row>
    <row r="1335" spans="14:14" s="41" customFormat="1" x14ac:dyDescent="0.2">
      <c r="N1335" s="162"/>
    </row>
    <row r="1336" spans="14:14" s="41" customFormat="1" x14ac:dyDescent="0.2">
      <c r="N1336" s="162"/>
    </row>
    <row r="1337" spans="14:14" s="41" customFormat="1" x14ac:dyDescent="0.2">
      <c r="N1337" s="162"/>
    </row>
    <row r="1338" spans="14:14" s="41" customFormat="1" x14ac:dyDescent="0.2">
      <c r="N1338" s="162"/>
    </row>
    <row r="1339" spans="14:14" s="41" customFormat="1" x14ac:dyDescent="0.2">
      <c r="N1339" s="162"/>
    </row>
    <row r="1340" spans="14:14" s="41" customFormat="1" x14ac:dyDescent="0.2">
      <c r="N1340" s="162"/>
    </row>
    <row r="1341" spans="14:14" s="41" customFormat="1" x14ac:dyDescent="0.2">
      <c r="N1341" s="162"/>
    </row>
    <row r="1342" spans="14:14" s="41" customFormat="1" x14ac:dyDescent="0.2">
      <c r="N1342" s="162"/>
    </row>
    <row r="1343" spans="14:14" s="41" customFormat="1" x14ac:dyDescent="0.2">
      <c r="N1343" s="162"/>
    </row>
    <row r="1344" spans="14:14" s="41" customFormat="1" x14ac:dyDescent="0.2">
      <c r="N1344" s="162"/>
    </row>
    <row r="1345" spans="1:36" s="41" customFormat="1" x14ac:dyDescent="0.2">
      <c r="N1345" s="162"/>
    </row>
    <row r="1346" spans="1:36" s="41" customFormat="1" ht="15" thickBot="1" x14ac:dyDescent="0.25">
      <c r="N1346" s="162"/>
    </row>
    <row r="1347" spans="1:36" s="41" customFormat="1" ht="42" customHeight="1" thickBot="1" x14ac:dyDescent="0.25">
      <c r="A1347" s="240" t="s">
        <v>169</v>
      </c>
      <c r="B1347" s="241"/>
      <c r="C1347" s="241"/>
      <c r="D1347" s="241"/>
      <c r="E1347" s="241"/>
      <c r="F1347" s="241"/>
      <c r="G1347" s="242"/>
      <c r="H1347" s="74"/>
      <c r="I1347" s="74"/>
      <c r="J1347" s="74"/>
      <c r="K1347" s="74"/>
      <c r="N1347" s="162"/>
    </row>
    <row r="1348" spans="1:36" s="41" customFormat="1" ht="15.75" thickBot="1" x14ac:dyDescent="0.3">
      <c r="A1348" s="28"/>
      <c r="B1348" s="234" t="str">
        <f>+B73</f>
        <v>Successful</v>
      </c>
      <c r="C1348" s="235"/>
      <c r="D1348" s="236" t="str">
        <f>+D73</f>
        <v>Unsuccessful</v>
      </c>
      <c r="E1348" s="237"/>
      <c r="F1348" s="238" t="s">
        <v>16</v>
      </c>
      <c r="G1348" s="239"/>
      <c r="H1348" s="206">
        <f>+H73</f>
        <v>2021</v>
      </c>
      <c r="I1348" s="207"/>
      <c r="J1348" s="208"/>
      <c r="K1348" s="206">
        <f>+K73</f>
        <v>2020</v>
      </c>
      <c r="L1348" s="207"/>
      <c r="M1348" s="208"/>
      <c r="N1348" s="206">
        <f>+N73</f>
        <v>2019</v>
      </c>
      <c r="O1348" s="207"/>
      <c r="P1348" s="208"/>
      <c r="Q1348" s="206">
        <f>+Q73</f>
        <v>2018</v>
      </c>
      <c r="R1348" s="207"/>
      <c r="S1348" s="208"/>
      <c r="T1348" s="206">
        <f>+T73</f>
        <v>2017</v>
      </c>
      <c r="U1348" s="207"/>
      <c r="V1348" s="208"/>
      <c r="W1348" s="209">
        <f>+W73</f>
        <v>2016</v>
      </c>
      <c r="X1348" s="210"/>
      <c r="Y1348" s="211"/>
      <c r="Z1348" s="209">
        <f>+Z73</f>
        <v>2015</v>
      </c>
      <c r="AA1348" s="210"/>
      <c r="AB1348" s="211"/>
      <c r="AC1348" s="165"/>
      <c r="AF1348" s="162"/>
    </row>
    <row r="1349" spans="1:36" s="41" customFormat="1" ht="29.25" customHeight="1" thickBot="1" x14ac:dyDescent="0.25">
      <c r="A1349" s="28"/>
      <c r="B1349" s="29" t="s">
        <v>37</v>
      </c>
      <c r="C1349" s="30" t="s">
        <v>38</v>
      </c>
      <c r="D1349" s="29" t="s">
        <v>37</v>
      </c>
      <c r="E1349" s="30" t="s">
        <v>38</v>
      </c>
      <c r="F1349" s="29" t="s">
        <v>37</v>
      </c>
      <c r="G1349" s="30" t="s">
        <v>38</v>
      </c>
      <c r="H1349" s="186" t="s">
        <v>132</v>
      </c>
      <c r="I1349" s="187" t="s">
        <v>133</v>
      </c>
      <c r="J1349" s="44" t="s">
        <v>16</v>
      </c>
      <c r="K1349" s="186" t="s">
        <v>132</v>
      </c>
      <c r="L1349" s="187" t="s">
        <v>133</v>
      </c>
      <c r="M1349" s="44" t="s">
        <v>16</v>
      </c>
      <c r="N1349" s="186" t="s">
        <v>132</v>
      </c>
      <c r="O1349" s="187" t="s">
        <v>133</v>
      </c>
      <c r="P1349" s="44" t="s">
        <v>16</v>
      </c>
      <c r="Q1349" s="186" t="s">
        <v>132</v>
      </c>
      <c r="R1349" s="187" t="s">
        <v>133</v>
      </c>
      <c r="S1349" s="44" t="s">
        <v>16</v>
      </c>
      <c r="T1349" s="186" t="s">
        <v>132</v>
      </c>
      <c r="U1349" s="187" t="s">
        <v>133</v>
      </c>
      <c r="V1349" s="44" t="s">
        <v>16</v>
      </c>
      <c r="W1349" s="186" t="s">
        <v>132</v>
      </c>
      <c r="X1349" s="187" t="s">
        <v>133</v>
      </c>
      <c r="Y1349" s="44" t="s">
        <v>16</v>
      </c>
      <c r="Z1349" s="186" t="s">
        <v>132</v>
      </c>
      <c r="AA1349" s="187" t="s">
        <v>133</v>
      </c>
      <c r="AB1349" s="44" t="s">
        <v>16</v>
      </c>
    </row>
    <row r="1350" spans="1:36" s="41" customFormat="1" ht="27.75" customHeight="1" x14ac:dyDescent="0.2">
      <c r="A1350" s="98" t="s">
        <v>134</v>
      </c>
      <c r="B1350" s="31">
        <f>COUNTIFS(DATA!$AT$3:$AT$7183,1,DATA!$D$3:$D$7183,260)</f>
        <v>167</v>
      </c>
      <c r="C1350" s="35">
        <f>+B1350/$B$1355</f>
        <v>0.72925764192139741</v>
      </c>
      <c r="D1350" s="31">
        <f>COUNTIFS(DATA!$AT$3:$AT$7183,1,DATA!$D$3:$D$7183,280)</f>
        <v>53</v>
      </c>
      <c r="E1350" s="35">
        <f>+D1350/$D$1355</f>
        <v>0.54639175257731953</v>
      </c>
      <c r="F1350" s="31">
        <f>+D1350+B1350</f>
        <v>220</v>
      </c>
      <c r="G1350" s="35">
        <f>+F1350/$F$1355</f>
        <v>0.67484662576687116</v>
      </c>
      <c r="H1350" s="181">
        <v>0.77294685990338163</v>
      </c>
      <c r="I1350" s="180">
        <v>0.46739130434782611</v>
      </c>
      <c r="J1350" s="182">
        <v>0.67892976588628762</v>
      </c>
      <c r="K1350" s="181">
        <v>0.75903614457831325</v>
      </c>
      <c r="L1350" s="180">
        <v>0.57664233576642332</v>
      </c>
      <c r="M1350" s="182">
        <v>0.69430051813471505</v>
      </c>
      <c r="N1350" s="181">
        <v>0.7655367231638418</v>
      </c>
      <c r="O1350" s="180">
        <v>0.49375000000000002</v>
      </c>
      <c r="P1350" s="182">
        <v>0.68093385214007784</v>
      </c>
      <c r="Q1350" s="181">
        <v>0.73</v>
      </c>
      <c r="R1350" s="180">
        <v>0.56000000000000005</v>
      </c>
      <c r="S1350" s="182">
        <v>0.68</v>
      </c>
      <c r="T1350" s="181">
        <v>0.71043771043771042</v>
      </c>
      <c r="U1350" s="180">
        <v>0.59509202453987731</v>
      </c>
      <c r="V1350" s="182">
        <v>0.66956521739130437</v>
      </c>
      <c r="W1350" s="181">
        <v>0.75659824046920821</v>
      </c>
      <c r="X1350" s="180">
        <v>0.53472222222222221</v>
      </c>
      <c r="Y1350" s="182">
        <v>0.69072164948453607</v>
      </c>
      <c r="Z1350" s="181">
        <v>0.74382716049382713</v>
      </c>
      <c r="AA1350" s="180">
        <v>0.42</v>
      </c>
      <c r="AB1350" s="182">
        <v>0.66125290023201855</v>
      </c>
    </row>
    <row r="1351" spans="1:36" s="41" customFormat="1" ht="28.5" customHeight="1" x14ac:dyDescent="0.2">
      <c r="A1351" s="92" t="s">
        <v>89</v>
      </c>
      <c r="B1351" s="31">
        <f>COUNTIFS(DATA!$AT$3:$AT$7183,2,DATA!$D$3:$D$7183,260)</f>
        <v>31</v>
      </c>
      <c r="C1351" s="35">
        <f t="shared" ref="C1351:C1354" si="134">+B1351/$B$1355</f>
        <v>0.13537117903930132</v>
      </c>
      <c r="D1351" s="42">
        <f>COUNTIFS(DATA!$AT$3:$AT$7183,2,DATA!$D$3:$D$7183,280)</f>
        <v>18</v>
      </c>
      <c r="E1351" s="35">
        <f t="shared" ref="E1351:E1354" si="135">+D1351/$D$1355</f>
        <v>0.18556701030927836</v>
      </c>
      <c r="F1351" s="42">
        <f t="shared" ref="F1351:F1353" si="136">+D1351+B1351</f>
        <v>49</v>
      </c>
      <c r="G1351" s="35">
        <f t="shared" ref="G1351:G1354" si="137">+F1351/$F$1355</f>
        <v>0.15030674846625766</v>
      </c>
      <c r="H1351" s="181">
        <v>0.10628019323671498</v>
      </c>
      <c r="I1351" s="180">
        <v>0.14130434782608695</v>
      </c>
      <c r="J1351" s="182">
        <v>0.11705685618729098</v>
      </c>
      <c r="K1351" s="181">
        <v>9.6385542168674704E-2</v>
      </c>
      <c r="L1351" s="180">
        <v>0.13138686131386862</v>
      </c>
      <c r="M1351" s="182">
        <v>0.10880829015544041</v>
      </c>
      <c r="N1351" s="181">
        <v>0.11016949152542373</v>
      </c>
      <c r="O1351" s="180">
        <v>0.14374999999999999</v>
      </c>
      <c r="P1351" s="182">
        <v>0.12062256809338522</v>
      </c>
      <c r="Q1351" s="181">
        <v>0.14000000000000001</v>
      </c>
      <c r="R1351" s="180">
        <v>0.15</v>
      </c>
      <c r="S1351" s="182">
        <v>0.14000000000000001</v>
      </c>
      <c r="T1351" s="181">
        <v>0.18518518518518517</v>
      </c>
      <c r="U1351" s="180">
        <v>0.11042944785276074</v>
      </c>
      <c r="V1351" s="182">
        <v>0.15869565217391304</v>
      </c>
      <c r="W1351" s="181">
        <v>0.11730205278592376</v>
      </c>
      <c r="X1351" s="180">
        <v>0.18055555555555555</v>
      </c>
      <c r="Y1351" s="182">
        <v>0.13608247422680411</v>
      </c>
      <c r="Z1351" s="181">
        <v>0.14814814814814814</v>
      </c>
      <c r="AA1351" s="180">
        <v>0.3</v>
      </c>
      <c r="AB1351" s="182">
        <v>0.18793503480278423</v>
      </c>
    </row>
    <row r="1352" spans="1:36" s="41" customFormat="1" x14ac:dyDescent="0.2">
      <c r="A1352" s="92" t="s">
        <v>90</v>
      </c>
      <c r="B1352" s="31">
        <f>COUNTIFS(DATA!$AT$3:$AT$7183,"3",DATA!$D$3:$D$7183,260)</f>
        <v>7</v>
      </c>
      <c r="C1352" s="35">
        <f t="shared" si="134"/>
        <v>3.0567685589519649E-2</v>
      </c>
      <c r="D1352" s="42">
        <f>COUNTIFS(DATA!$AT$3:$AT$7183,"3",DATA!$D$3:$D$7183,280)</f>
        <v>6</v>
      </c>
      <c r="E1352" s="35">
        <f t="shared" si="135"/>
        <v>6.1855670103092786E-2</v>
      </c>
      <c r="F1352" s="42">
        <f t="shared" si="136"/>
        <v>13</v>
      </c>
      <c r="G1352" s="35">
        <f t="shared" si="137"/>
        <v>3.9877300613496931E-2</v>
      </c>
      <c r="H1352" s="181">
        <v>4.3478260869565216E-2</v>
      </c>
      <c r="I1352" s="180">
        <v>8.6956521739130432E-2</v>
      </c>
      <c r="J1352" s="182">
        <v>5.6856187290969896E-2</v>
      </c>
      <c r="K1352" s="181">
        <v>3.2128514056224897E-2</v>
      </c>
      <c r="L1352" s="180">
        <v>4.3795620437956206E-2</v>
      </c>
      <c r="M1352" s="182">
        <v>3.6269430051813469E-2</v>
      </c>
      <c r="N1352" s="181">
        <v>5.3672316384180789E-2</v>
      </c>
      <c r="O1352" s="180">
        <v>9.375E-2</v>
      </c>
      <c r="P1352" s="182">
        <v>6.6147859922178989E-2</v>
      </c>
      <c r="Q1352" s="181">
        <v>0.04</v>
      </c>
      <c r="R1352" s="180">
        <v>7.0000000000000007E-2</v>
      </c>
      <c r="S1352" s="182">
        <v>0.05</v>
      </c>
      <c r="T1352" s="181">
        <v>3.0303030303030304E-2</v>
      </c>
      <c r="U1352" s="180">
        <v>8.5889570552147243E-2</v>
      </c>
      <c r="V1352" s="182">
        <v>0.05</v>
      </c>
      <c r="W1352" s="181">
        <v>3.2258064516129031E-2</v>
      </c>
      <c r="X1352" s="180">
        <v>9.0277777777777776E-2</v>
      </c>
      <c r="Y1352" s="182">
        <v>4.9484536082474224E-2</v>
      </c>
      <c r="Z1352" s="181">
        <v>3.3950617283950615E-2</v>
      </c>
      <c r="AA1352" s="180">
        <v>4.6728971962616821E-2</v>
      </c>
      <c r="AB1352" s="182">
        <v>3.7122969837587005E-2</v>
      </c>
      <c r="AC1352" s="150"/>
      <c r="AD1352" s="150"/>
      <c r="AE1352" s="150"/>
      <c r="AF1352" s="162"/>
      <c r="AG1352" s="150"/>
      <c r="AH1352" s="150"/>
      <c r="AI1352" s="150"/>
      <c r="AJ1352" s="150"/>
    </row>
    <row r="1353" spans="1:36" s="41" customFormat="1" ht="27.75" customHeight="1" x14ac:dyDescent="0.2">
      <c r="A1353" s="82" t="s">
        <v>91</v>
      </c>
      <c r="B1353" s="31">
        <f>COUNTIFS(DATA!$AT$3:$AT$7183,"4",DATA!$D$3:$D$7183,260)</f>
        <v>7</v>
      </c>
      <c r="C1353" s="35">
        <f t="shared" si="134"/>
        <v>3.0567685589519649E-2</v>
      </c>
      <c r="D1353" s="42">
        <f>COUNTIFS(DATA!$AT$3:$AT$7183,"4",DATA!$D$3:$D$7183,280)</f>
        <v>14</v>
      </c>
      <c r="E1353" s="35">
        <f t="shared" si="135"/>
        <v>0.14432989690721648</v>
      </c>
      <c r="F1353" s="42">
        <f t="shared" si="136"/>
        <v>21</v>
      </c>
      <c r="G1353" s="35">
        <f t="shared" si="137"/>
        <v>6.4417177914110432E-2</v>
      </c>
      <c r="H1353" s="181">
        <v>2.8985507246376812E-2</v>
      </c>
      <c r="I1353" s="180">
        <v>0.18478260869565216</v>
      </c>
      <c r="J1353" s="182">
        <v>7.6923076923076927E-2</v>
      </c>
      <c r="K1353" s="181">
        <v>4.0160642570281124E-2</v>
      </c>
      <c r="L1353" s="180">
        <v>0.16788321167883211</v>
      </c>
      <c r="M1353" s="182">
        <v>8.549222797927461E-2</v>
      </c>
      <c r="N1353" s="181">
        <v>1.4124293785310734E-2</v>
      </c>
      <c r="O1353" s="180">
        <v>0.19375000000000001</v>
      </c>
      <c r="P1353" s="182">
        <v>7.0038910505836577E-2</v>
      </c>
      <c r="Q1353" s="181">
        <v>0.03</v>
      </c>
      <c r="R1353" s="180">
        <v>0.12</v>
      </c>
      <c r="S1353" s="182">
        <v>0.06</v>
      </c>
      <c r="T1353" s="181">
        <v>4.7138047138047139E-2</v>
      </c>
      <c r="U1353" s="180">
        <v>0.14723926380368099</v>
      </c>
      <c r="V1353" s="182">
        <v>8.2608695652173908E-2</v>
      </c>
      <c r="W1353" s="181">
        <v>3.519061583577713E-2</v>
      </c>
      <c r="X1353" s="180">
        <v>0.125</v>
      </c>
      <c r="Y1353" s="182">
        <v>6.1855670103092786E-2</v>
      </c>
      <c r="Z1353" s="181">
        <v>3.3950617283950615E-2</v>
      </c>
      <c r="AA1353" s="180">
        <v>0.16822429906542055</v>
      </c>
      <c r="AB1353" s="182">
        <v>0.06</v>
      </c>
    </row>
    <row r="1354" spans="1:36" s="41" customFormat="1" ht="29.25" customHeight="1" thickBot="1" x14ac:dyDescent="0.25">
      <c r="A1354" s="93" t="s">
        <v>39</v>
      </c>
      <c r="B1354" s="31">
        <f>COUNTIFS(DATA!$AT$3:$AT$7183,"5",DATA!$D$3:$D$7183,260)</f>
        <v>17</v>
      </c>
      <c r="C1354" s="35">
        <f t="shared" si="134"/>
        <v>7.4235807860262015E-2</v>
      </c>
      <c r="D1354" s="42">
        <f>COUNTIFS(DATA!$AT$3:$AT$7183,"5",DATA!$D$3:$D$7183,280)</f>
        <v>6</v>
      </c>
      <c r="E1354" s="35">
        <f t="shared" si="135"/>
        <v>6.1855670103092786E-2</v>
      </c>
      <c r="F1354" s="42">
        <f t="shared" ref="F1354" si="138">+D1354+B1354</f>
        <v>23</v>
      </c>
      <c r="G1354" s="35">
        <f t="shared" si="137"/>
        <v>7.0552147239263799E-2</v>
      </c>
      <c r="H1354" s="181">
        <v>4.8309178743961352E-2</v>
      </c>
      <c r="I1354" s="180">
        <v>0.11956521739130435</v>
      </c>
      <c r="J1354" s="182">
        <v>7.0234113712374577E-2</v>
      </c>
      <c r="K1354" s="181">
        <v>7.2289156626506021E-2</v>
      </c>
      <c r="L1354" s="180">
        <v>8.0291970802919707E-2</v>
      </c>
      <c r="M1354" s="182">
        <v>7.512953367875648E-2</v>
      </c>
      <c r="N1354" s="181">
        <v>5.6497175141242938E-2</v>
      </c>
      <c r="O1354" s="180">
        <v>7.4999999999999997E-2</v>
      </c>
      <c r="P1354" s="182">
        <v>6.2256809338521402E-2</v>
      </c>
      <c r="Q1354" s="181">
        <v>0.06</v>
      </c>
      <c r="R1354" s="180">
        <v>0.1</v>
      </c>
      <c r="S1354" s="182">
        <v>7.0000000000000007E-2</v>
      </c>
      <c r="T1354" s="181">
        <v>2.6936026936026935E-2</v>
      </c>
      <c r="U1354" s="180">
        <v>6.1349693251533742E-2</v>
      </c>
      <c r="V1354" s="182">
        <v>3.9130434782608699E-2</v>
      </c>
      <c r="W1354" s="181">
        <v>5.865102639296188E-2</v>
      </c>
      <c r="X1354" s="180">
        <v>6.9444444444444448E-2</v>
      </c>
      <c r="Y1354" s="182">
        <v>6.1855670103092786E-2</v>
      </c>
      <c r="Z1354" s="181">
        <v>4.0123456790123455E-2</v>
      </c>
      <c r="AA1354" s="180">
        <v>0.06</v>
      </c>
      <c r="AB1354" s="182">
        <v>4.6403712296983757E-2</v>
      </c>
    </row>
    <row r="1355" spans="1:36" s="41" customFormat="1" ht="15.75" thickBot="1" x14ac:dyDescent="0.3">
      <c r="A1355" s="111" t="s">
        <v>16</v>
      </c>
      <c r="B1355" s="101">
        <f>SUM(B1350:B1354)</f>
        <v>229</v>
      </c>
      <c r="C1355" s="114">
        <f>+B1355/$B$1355</f>
        <v>1</v>
      </c>
      <c r="D1355" s="101">
        <f>SUM(D1350:D1354)</f>
        <v>97</v>
      </c>
      <c r="E1355" s="114">
        <f>+D1355/$D$1355</f>
        <v>1</v>
      </c>
      <c r="F1355" s="101">
        <f>SUM(F1350:F1354)</f>
        <v>326</v>
      </c>
      <c r="G1355" s="114">
        <f>+F1355/$F$1355</f>
        <v>1</v>
      </c>
      <c r="H1355" s="183">
        <v>1</v>
      </c>
      <c r="I1355" s="184">
        <v>1</v>
      </c>
      <c r="J1355" s="185">
        <v>1</v>
      </c>
      <c r="K1355" s="183">
        <v>1</v>
      </c>
      <c r="L1355" s="184">
        <v>1</v>
      </c>
      <c r="M1355" s="185">
        <v>1</v>
      </c>
      <c r="N1355" s="183">
        <v>1</v>
      </c>
      <c r="O1355" s="184">
        <v>1</v>
      </c>
      <c r="P1355" s="185">
        <v>1</v>
      </c>
      <c r="Q1355" s="183">
        <v>1</v>
      </c>
      <c r="R1355" s="184">
        <v>1</v>
      </c>
      <c r="S1355" s="185">
        <v>1</v>
      </c>
      <c r="T1355" s="183">
        <v>1</v>
      </c>
      <c r="U1355" s="184">
        <v>1</v>
      </c>
      <c r="V1355" s="185">
        <v>1</v>
      </c>
      <c r="W1355" s="183">
        <v>1</v>
      </c>
      <c r="X1355" s="184">
        <v>1</v>
      </c>
      <c r="Y1355" s="185">
        <v>1</v>
      </c>
      <c r="Z1355" s="183">
        <v>1</v>
      </c>
      <c r="AA1355" s="184">
        <v>1</v>
      </c>
      <c r="AB1355" s="185">
        <v>1</v>
      </c>
      <c r="AF1355" s="162"/>
    </row>
    <row r="1356" spans="1:36" s="41" customFormat="1" x14ac:dyDescent="0.2">
      <c r="N1356" s="162"/>
    </row>
    <row r="1357" spans="1:36" s="41" customFormat="1" ht="14.25" customHeight="1" x14ac:dyDescent="0.2">
      <c r="K1357" s="218" t="s">
        <v>7104</v>
      </c>
      <c r="L1357" s="218"/>
      <c r="M1357" s="218"/>
      <c r="N1357" s="218"/>
      <c r="O1357" s="218"/>
      <c r="P1357" s="218"/>
      <c r="Q1357" s="218"/>
      <c r="R1357" s="218"/>
    </row>
    <row r="1358" spans="1:36" s="41" customFormat="1" x14ac:dyDescent="0.2">
      <c r="K1358" s="218"/>
      <c r="L1358" s="218"/>
      <c r="M1358" s="218"/>
      <c r="N1358" s="218"/>
      <c r="O1358" s="218"/>
      <c r="P1358" s="218"/>
      <c r="Q1358" s="218"/>
      <c r="R1358" s="218"/>
    </row>
    <row r="1359" spans="1:36" s="41" customFormat="1" ht="14.25" customHeight="1" x14ac:dyDescent="0.2">
      <c r="K1359" s="219" t="s">
        <v>7201</v>
      </c>
      <c r="L1359" s="219"/>
      <c r="M1359" s="219"/>
      <c r="N1359" s="219"/>
      <c r="O1359" s="219"/>
      <c r="P1359" s="219"/>
      <c r="Q1359" s="219"/>
      <c r="R1359" s="219"/>
    </row>
    <row r="1360" spans="1:36" s="41" customFormat="1" x14ac:dyDescent="0.2">
      <c r="K1360" s="219"/>
      <c r="L1360" s="219"/>
      <c r="M1360" s="219"/>
      <c r="N1360" s="219"/>
      <c r="O1360" s="219"/>
      <c r="P1360" s="219"/>
      <c r="Q1360" s="219"/>
      <c r="R1360" s="219"/>
    </row>
    <row r="1361" spans="11:18" s="41" customFormat="1" ht="14.25" customHeight="1" x14ac:dyDescent="0.2">
      <c r="K1361" s="219" t="s">
        <v>7202</v>
      </c>
      <c r="L1361" s="219"/>
      <c r="M1361" s="219"/>
      <c r="N1361" s="219"/>
      <c r="O1361" s="219"/>
      <c r="P1361" s="219"/>
      <c r="Q1361" s="219"/>
      <c r="R1361" s="219"/>
    </row>
    <row r="1362" spans="11:18" s="41" customFormat="1" x14ac:dyDescent="0.2">
      <c r="K1362" s="219"/>
      <c r="L1362" s="219"/>
      <c r="M1362" s="219"/>
      <c r="N1362" s="219"/>
      <c r="O1362" s="219"/>
      <c r="P1362" s="219"/>
      <c r="Q1362" s="219"/>
      <c r="R1362" s="219"/>
    </row>
    <row r="1363" spans="11:18" s="41" customFormat="1" ht="14.25" customHeight="1" x14ac:dyDescent="0.2">
      <c r="K1363" s="215" t="s">
        <v>7203</v>
      </c>
      <c r="L1363" s="215"/>
      <c r="M1363" s="215"/>
      <c r="N1363" s="215"/>
      <c r="O1363" s="215"/>
      <c r="P1363" s="215"/>
      <c r="Q1363" s="215"/>
      <c r="R1363" s="215"/>
    </row>
    <row r="1364" spans="11:18" s="41" customFormat="1" x14ac:dyDescent="0.2">
      <c r="K1364" s="215"/>
      <c r="L1364" s="215"/>
      <c r="M1364" s="215"/>
      <c r="N1364" s="215"/>
      <c r="O1364" s="215"/>
      <c r="P1364" s="215"/>
      <c r="Q1364" s="215"/>
      <c r="R1364" s="215"/>
    </row>
    <row r="1365" spans="11:18" s="41" customFormat="1" ht="14.25" customHeight="1" x14ac:dyDescent="0.2">
      <c r="K1365" s="215" t="s">
        <v>7204</v>
      </c>
      <c r="L1365" s="215"/>
      <c r="M1365" s="215"/>
      <c r="N1365" s="215"/>
      <c r="O1365" s="215"/>
      <c r="P1365" s="215"/>
      <c r="Q1365" s="215"/>
      <c r="R1365" s="215"/>
    </row>
    <row r="1366" spans="11:18" s="41" customFormat="1" x14ac:dyDescent="0.2">
      <c r="K1366" s="215"/>
      <c r="L1366" s="215"/>
      <c r="M1366" s="215"/>
      <c r="N1366" s="215"/>
      <c r="O1366" s="215"/>
      <c r="P1366" s="215"/>
      <c r="Q1366" s="215"/>
      <c r="R1366" s="215"/>
    </row>
    <row r="1367" spans="11:18" s="41" customFormat="1" x14ac:dyDescent="0.2">
      <c r="N1367" s="162"/>
    </row>
    <row r="1368" spans="11:18" s="41" customFormat="1" x14ac:dyDescent="0.2"/>
    <row r="1369" spans="11:18" s="41" customFormat="1" x14ac:dyDescent="0.2"/>
    <row r="1370" spans="11:18" s="41" customFormat="1" x14ac:dyDescent="0.2">
      <c r="N1370" s="162"/>
    </row>
    <row r="1371" spans="11:18" s="41" customFormat="1" x14ac:dyDescent="0.2">
      <c r="N1371" s="162"/>
    </row>
    <row r="1372" spans="11:18" s="41" customFormat="1" x14ac:dyDescent="0.2">
      <c r="N1372" s="162"/>
    </row>
    <row r="1373" spans="11:18" s="41" customFormat="1" x14ac:dyDescent="0.2">
      <c r="N1373" s="162"/>
    </row>
    <row r="1374" spans="11:18" s="41" customFormat="1" x14ac:dyDescent="0.2">
      <c r="N1374" s="162"/>
    </row>
    <row r="1375" spans="11:18" s="41" customFormat="1" x14ac:dyDescent="0.2">
      <c r="N1375" s="162"/>
    </row>
    <row r="1376" spans="11:18" s="41" customFormat="1" x14ac:dyDescent="0.2">
      <c r="N1376" s="162"/>
    </row>
    <row r="1377" spans="1:36" s="41" customFormat="1" x14ac:dyDescent="0.2">
      <c r="N1377" s="162"/>
    </row>
    <row r="1378" spans="1:36" s="41" customFormat="1" x14ac:dyDescent="0.2">
      <c r="N1378" s="162"/>
    </row>
    <row r="1379" spans="1:36" s="41" customFormat="1" x14ac:dyDescent="0.2">
      <c r="N1379" s="162"/>
    </row>
    <row r="1380" spans="1:36" s="41" customFormat="1" ht="15" thickBot="1" x14ac:dyDescent="0.25">
      <c r="N1380" s="162"/>
    </row>
    <row r="1381" spans="1:36" s="41" customFormat="1" ht="56.25" customHeight="1" thickBot="1" x14ac:dyDescent="0.25">
      <c r="A1381" s="240" t="s">
        <v>170</v>
      </c>
      <c r="B1381" s="241"/>
      <c r="C1381" s="241"/>
      <c r="D1381" s="241"/>
      <c r="E1381" s="241"/>
      <c r="F1381" s="241"/>
      <c r="G1381" s="242"/>
      <c r="H1381" s="74"/>
      <c r="I1381" s="74"/>
      <c r="J1381" s="74"/>
      <c r="K1381" s="74"/>
      <c r="N1381" s="162"/>
    </row>
    <row r="1382" spans="1:36" s="41" customFormat="1" ht="15.75" thickBot="1" x14ac:dyDescent="0.3">
      <c r="A1382" s="28"/>
      <c r="B1382" s="234" t="str">
        <f>+B73</f>
        <v>Successful</v>
      </c>
      <c r="C1382" s="235"/>
      <c r="D1382" s="236" t="str">
        <f>+D73</f>
        <v>Unsuccessful</v>
      </c>
      <c r="E1382" s="237"/>
      <c r="F1382" s="238" t="s">
        <v>16</v>
      </c>
      <c r="G1382" s="239"/>
      <c r="H1382" s="206">
        <f>+H73</f>
        <v>2021</v>
      </c>
      <c r="I1382" s="207"/>
      <c r="J1382" s="208"/>
      <c r="K1382" s="206">
        <f>+K73</f>
        <v>2020</v>
      </c>
      <c r="L1382" s="207"/>
      <c r="M1382" s="208"/>
      <c r="N1382" s="206">
        <f>+N73</f>
        <v>2019</v>
      </c>
      <c r="O1382" s="207"/>
      <c r="P1382" s="208"/>
      <c r="Q1382" s="206">
        <f>+Q73</f>
        <v>2018</v>
      </c>
      <c r="R1382" s="207"/>
      <c r="S1382" s="208"/>
      <c r="T1382" s="206">
        <f>+T73</f>
        <v>2017</v>
      </c>
      <c r="U1382" s="207"/>
      <c r="V1382" s="208"/>
      <c r="W1382" s="209">
        <f>+W73</f>
        <v>2016</v>
      </c>
      <c r="X1382" s="210"/>
      <c r="Y1382" s="211"/>
      <c r="Z1382" s="209">
        <f>+Z73</f>
        <v>2015</v>
      </c>
      <c r="AA1382" s="210"/>
      <c r="AB1382" s="211"/>
      <c r="AC1382" s="165"/>
      <c r="AF1382" s="162"/>
    </row>
    <row r="1383" spans="1:36" s="41" customFormat="1" ht="29.25" thickBot="1" x14ac:dyDescent="0.25">
      <c r="A1383" s="28"/>
      <c r="B1383" s="29" t="s">
        <v>37</v>
      </c>
      <c r="C1383" s="30" t="s">
        <v>38</v>
      </c>
      <c r="D1383" s="29" t="s">
        <v>37</v>
      </c>
      <c r="E1383" s="30" t="s">
        <v>38</v>
      </c>
      <c r="F1383" s="29" t="s">
        <v>37</v>
      </c>
      <c r="G1383" s="30" t="s">
        <v>38</v>
      </c>
      <c r="H1383" s="186" t="s">
        <v>132</v>
      </c>
      <c r="I1383" s="187" t="s">
        <v>133</v>
      </c>
      <c r="J1383" s="44" t="s">
        <v>16</v>
      </c>
      <c r="K1383" s="186" t="s">
        <v>132</v>
      </c>
      <c r="L1383" s="187" t="s">
        <v>133</v>
      </c>
      <c r="M1383" s="44" t="s">
        <v>16</v>
      </c>
      <c r="N1383" s="186" t="s">
        <v>132</v>
      </c>
      <c r="O1383" s="187" t="s">
        <v>133</v>
      </c>
      <c r="P1383" s="44" t="s">
        <v>16</v>
      </c>
      <c r="Q1383" s="186" t="s">
        <v>132</v>
      </c>
      <c r="R1383" s="187" t="s">
        <v>133</v>
      </c>
      <c r="S1383" s="44" t="s">
        <v>16</v>
      </c>
      <c r="T1383" s="186" t="s">
        <v>132</v>
      </c>
      <c r="U1383" s="187" t="s">
        <v>133</v>
      </c>
      <c r="V1383" s="44" t="s">
        <v>16</v>
      </c>
      <c r="W1383" s="186" t="s">
        <v>132</v>
      </c>
      <c r="X1383" s="187" t="s">
        <v>133</v>
      </c>
      <c r="Y1383" s="44" t="s">
        <v>16</v>
      </c>
      <c r="Z1383" s="186" t="s">
        <v>132</v>
      </c>
      <c r="AA1383" s="187" t="s">
        <v>133</v>
      </c>
      <c r="AB1383" s="44" t="s">
        <v>16</v>
      </c>
    </row>
    <row r="1384" spans="1:36" s="41" customFormat="1" ht="29.25" customHeight="1" x14ac:dyDescent="0.2">
      <c r="A1384" s="98" t="s">
        <v>134</v>
      </c>
      <c r="B1384" s="31">
        <f>COUNTIFS(DATA!$AU$3:$AU$7183,1,DATA!$D$3:$D$7183,260)</f>
        <v>167</v>
      </c>
      <c r="C1384" s="35">
        <f>+B1384/$B$1389</f>
        <v>0.72925764192139741</v>
      </c>
      <c r="D1384" s="31">
        <f>COUNTIFS(DATA!$AU$3:$AU$7183,1,DATA!$D$3:$D$7183,280)</f>
        <v>55</v>
      </c>
      <c r="E1384" s="35">
        <f>+D1384/$D$1389</f>
        <v>0.5670103092783505</v>
      </c>
      <c r="F1384" s="31">
        <f>+D1384+B1384</f>
        <v>222</v>
      </c>
      <c r="G1384" s="35">
        <f>+F1384/$F$1389</f>
        <v>0.68098159509202449</v>
      </c>
      <c r="H1384" s="181">
        <v>0.81642512077294682</v>
      </c>
      <c r="I1384" s="180">
        <v>0.55434782608695654</v>
      </c>
      <c r="J1384" s="182">
        <v>0.73578595317725748</v>
      </c>
      <c r="K1384" s="181">
        <v>0.76706827309236947</v>
      </c>
      <c r="L1384" s="180">
        <v>0.7007299270072993</v>
      </c>
      <c r="M1384" s="182">
        <v>0.74352331606217614</v>
      </c>
      <c r="N1384" s="181">
        <v>0.74576271186440679</v>
      </c>
      <c r="O1384" s="180">
        <v>0.55625000000000002</v>
      </c>
      <c r="P1384" s="182">
        <v>0.6867704280155642</v>
      </c>
      <c r="Q1384" s="181">
        <v>0.74</v>
      </c>
      <c r="R1384" s="180">
        <v>0.61</v>
      </c>
      <c r="S1384" s="182">
        <v>0.7</v>
      </c>
      <c r="T1384" s="181">
        <v>0.71717171717171713</v>
      </c>
      <c r="U1384" s="180">
        <v>0.63190184049079756</v>
      </c>
      <c r="V1384" s="182">
        <v>0.68695652173913047</v>
      </c>
      <c r="W1384" s="181">
        <v>0.70674486803519065</v>
      </c>
      <c r="X1384" s="180">
        <v>0.61111111111111116</v>
      </c>
      <c r="Y1384" s="182">
        <v>0.67835051546391756</v>
      </c>
      <c r="Z1384" s="181">
        <v>0.76331360946745563</v>
      </c>
      <c r="AA1384" s="180">
        <v>0.55140186915887845</v>
      </c>
      <c r="AB1384" s="182">
        <v>0.71229698375870065</v>
      </c>
    </row>
    <row r="1385" spans="1:36" s="41" customFormat="1" ht="29.25" customHeight="1" x14ac:dyDescent="0.2">
      <c r="A1385" s="92" t="s">
        <v>89</v>
      </c>
      <c r="B1385" s="31">
        <f>COUNTIFS(DATA!$AU$3:$AU$7183,2,DATA!$D$3:$D$7183,260)</f>
        <v>36</v>
      </c>
      <c r="C1385" s="35">
        <f t="shared" ref="C1385:C1388" si="139">+B1385/$B$1389</f>
        <v>0.15720524017467249</v>
      </c>
      <c r="D1385" s="42">
        <f>COUNTIFS(DATA!$AU$3:$AU$7183,2,DATA!$D$3:$D$7183,280)</f>
        <v>24</v>
      </c>
      <c r="E1385" s="35">
        <f t="shared" ref="E1385:E1388" si="140">+D1385/$D$1389</f>
        <v>0.24742268041237114</v>
      </c>
      <c r="F1385" s="42">
        <f t="shared" ref="F1385:F1387" si="141">+D1385+B1385</f>
        <v>60</v>
      </c>
      <c r="G1385" s="35">
        <f t="shared" ref="G1385:G1388" si="142">+F1385/$F$1389</f>
        <v>0.18404907975460122</v>
      </c>
      <c r="H1385" s="181">
        <v>8.6956521739130432E-2</v>
      </c>
      <c r="I1385" s="180">
        <v>0.19565217391304349</v>
      </c>
      <c r="J1385" s="182">
        <v>0.12040133779264214</v>
      </c>
      <c r="K1385" s="181">
        <v>0.11646586345381527</v>
      </c>
      <c r="L1385" s="180">
        <v>0.11678832116788321</v>
      </c>
      <c r="M1385" s="182">
        <v>0.11658031088082901</v>
      </c>
      <c r="N1385" s="181">
        <v>0.16384180790960451</v>
      </c>
      <c r="O1385" s="180">
        <v>0.15</v>
      </c>
      <c r="P1385" s="182">
        <v>0.15953307392996108</v>
      </c>
      <c r="Q1385" s="181">
        <v>0.15</v>
      </c>
      <c r="R1385" s="180">
        <v>0.21</v>
      </c>
      <c r="S1385" s="182">
        <v>0.17</v>
      </c>
      <c r="T1385" s="181">
        <v>0.18855218855218855</v>
      </c>
      <c r="U1385" s="180">
        <v>0.16564417177914109</v>
      </c>
      <c r="V1385" s="182">
        <v>0.18043478260869567</v>
      </c>
      <c r="W1385" s="181">
        <v>0.19648093841642228</v>
      </c>
      <c r="X1385" s="180">
        <v>0.1736111111111111</v>
      </c>
      <c r="Y1385" s="182">
        <v>0.18969072164948453</v>
      </c>
      <c r="Z1385" s="181">
        <v>0.15384615384615385</v>
      </c>
      <c r="AA1385" s="180">
        <v>0.25233644859813081</v>
      </c>
      <c r="AB1385" s="182">
        <v>0.18</v>
      </c>
    </row>
    <row r="1386" spans="1:36" s="41" customFormat="1" x14ac:dyDescent="0.2">
      <c r="A1386" s="92" t="s">
        <v>90</v>
      </c>
      <c r="B1386" s="31">
        <f>COUNTIFS(DATA!$AU$3:$AU$7183,"3",DATA!$D$3:$D$7183,260)</f>
        <v>7</v>
      </c>
      <c r="C1386" s="35">
        <f t="shared" si="139"/>
        <v>3.0567685589519649E-2</v>
      </c>
      <c r="D1386" s="42">
        <f>COUNTIFS(DATA!$AU$3:$AU$7183,"3",DATA!$D$3:$D$7183,280)</f>
        <v>8</v>
      </c>
      <c r="E1386" s="35">
        <f t="shared" si="140"/>
        <v>8.247422680412371E-2</v>
      </c>
      <c r="F1386" s="42">
        <f t="shared" si="141"/>
        <v>15</v>
      </c>
      <c r="G1386" s="35">
        <f t="shared" si="142"/>
        <v>4.6012269938650305E-2</v>
      </c>
      <c r="H1386" s="181">
        <v>3.3816425120772944E-2</v>
      </c>
      <c r="I1386" s="180">
        <v>6.5217391304347824E-2</v>
      </c>
      <c r="J1386" s="182">
        <v>4.3478260869565216E-2</v>
      </c>
      <c r="K1386" s="181">
        <v>2.8112449799196786E-2</v>
      </c>
      <c r="L1386" s="180">
        <v>4.3795620437956206E-2</v>
      </c>
      <c r="M1386" s="182">
        <v>3.367875647668394E-2</v>
      </c>
      <c r="N1386" s="181">
        <v>2.5423728813559324E-2</v>
      </c>
      <c r="O1386" s="180">
        <v>0.1</v>
      </c>
      <c r="P1386" s="182">
        <v>4.8638132295719845E-2</v>
      </c>
      <c r="Q1386" s="181">
        <v>0.04</v>
      </c>
      <c r="R1386" s="180">
        <v>0.04</v>
      </c>
      <c r="S1386" s="182">
        <v>0.04</v>
      </c>
      <c r="T1386" s="181">
        <v>4.0404040404040407E-2</v>
      </c>
      <c r="U1386" s="180">
        <v>5.5214723926380369E-2</v>
      </c>
      <c r="V1386" s="182">
        <v>4.5652173913043478E-2</v>
      </c>
      <c r="W1386" s="181">
        <v>1.466275659824047E-2</v>
      </c>
      <c r="X1386" s="180">
        <v>6.9444444444444448E-2</v>
      </c>
      <c r="Y1386" s="182">
        <v>3.0927835051546393E-2</v>
      </c>
      <c r="Z1386" s="181">
        <v>2.0710059171597635E-2</v>
      </c>
      <c r="AA1386" s="180">
        <v>3.7383177570093455E-2</v>
      </c>
      <c r="AB1386" s="182">
        <v>0.02</v>
      </c>
      <c r="AC1386" s="162"/>
      <c r="AD1386" s="162"/>
      <c r="AE1386" s="162"/>
      <c r="AF1386" s="162"/>
      <c r="AG1386" s="162"/>
      <c r="AH1386" s="162"/>
      <c r="AI1386" s="162"/>
      <c r="AJ1386" s="162"/>
    </row>
    <row r="1387" spans="1:36" s="41" customFormat="1" ht="29.25" customHeight="1" x14ac:dyDescent="0.2">
      <c r="A1387" s="82" t="s">
        <v>91</v>
      </c>
      <c r="B1387" s="31">
        <f>COUNTIFS(DATA!$AU$3:$AU$7183,"4",DATA!$D$3:$D$7183,260)</f>
        <v>3</v>
      </c>
      <c r="C1387" s="35">
        <f t="shared" si="139"/>
        <v>1.3100436681222707E-2</v>
      </c>
      <c r="D1387" s="42">
        <f>COUNTIFS(DATA!$AU$3:$AU$7183,"4",DATA!$D$3:$D$7183,280)</f>
        <v>4</v>
      </c>
      <c r="E1387" s="35">
        <f t="shared" si="140"/>
        <v>4.1237113402061855E-2</v>
      </c>
      <c r="F1387" s="42">
        <f t="shared" si="141"/>
        <v>7</v>
      </c>
      <c r="G1387" s="35">
        <f t="shared" si="142"/>
        <v>2.1472392638036811E-2</v>
      </c>
      <c r="H1387" s="181">
        <v>1.4492753623188406E-2</v>
      </c>
      <c r="I1387" s="180">
        <v>6.5217391304347824E-2</v>
      </c>
      <c r="J1387" s="182">
        <v>3.0100334448160536E-2</v>
      </c>
      <c r="K1387" s="181">
        <v>2.4096385542168676E-2</v>
      </c>
      <c r="L1387" s="180">
        <v>7.2992700729927001E-2</v>
      </c>
      <c r="M1387" s="182">
        <v>4.145077720207254E-2</v>
      </c>
      <c r="N1387" s="181">
        <v>2.8248587570621469E-3</v>
      </c>
      <c r="O1387" s="180">
        <v>0.125</v>
      </c>
      <c r="P1387" s="182">
        <v>4.085603112840467E-2</v>
      </c>
      <c r="Q1387" s="181">
        <v>0.02</v>
      </c>
      <c r="R1387" s="180">
        <v>0.06</v>
      </c>
      <c r="S1387" s="182">
        <v>0.03</v>
      </c>
      <c r="T1387" s="181">
        <v>2.3569023569023569E-2</v>
      </c>
      <c r="U1387" s="180">
        <v>8.5889570552147243E-2</v>
      </c>
      <c r="V1387" s="182">
        <v>4.5652173913043478E-2</v>
      </c>
      <c r="W1387" s="181">
        <v>2.0527859237536656E-2</v>
      </c>
      <c r="X1387" s="180">
        <v>8.3333333333333329E-2</v>
      </c>
      <c r="Y1387" s="182">
        <v>3.9175257731958762E-2</v>
      </c>
      <c r="Z1387" s="181">
        <v>3.5502958579881658E-2</v>
      </c>
      <c r="AA1387" s="180">
        <v>9.3457943925233641E-2</v>
      </c>
      <c r="AB1387" s="182">
        <v>5.1044083526682132E-2</v>
      </c>
    </row>
    <row r="1388" spans="1:36" s="41" customFormat="1" ht="30.75" customHeight="1" thickBot="1" x14ac:dyDescent="0.25">
      <c r="A1388" s="93" t="s">
        <v>39</v>
      </c>
      <c r="B1388" s="31">
        <f>COUNTIFS(DATA!$AU$3:$AU$7183,"5",DATA!$D$3:$D$7183,260)</f>
        <v>16</v>
      </c>
      <c r="C1388" s="35">
        <f t="shared" si="139"/>
        <v>6.9868995633187769E-2</v>
      </c>
      <c r="D1388" s="42">
        <f>COUNTIFS(DATA!$AU$3:$AU$7183,"5",DATA!$D$3:$D$7183,280)</f>
        <v>6</v>
      </c>
      <c r="E1388" s="35">
        <f t="shared" si="140"/>
        <v>6.1855670103092786E-2</v>
      </c>
      <c r="F1388" s="42">
        <f t="shared" ref="F1388" si="143">+D1388+B1388</f>
        <v>22</v>
      </c>
      <c r="G1388" s="35">
        <f t="shared" si="142"/>
        <v>6.7484662576687116E-2</v>
      </c>
      <c r="H1388" s="181">
        <v>4.8309178743961352E-2</v>
      </c>
      <c r="I1388" s="180">
        <v>0.11956521739130435</v>
      </c>
      <c r="J1388" s="182">
        <v>7.0234113712374577E-2</v>
      </c>
      <c r="K1388" s="181">
        <v>6.4257028112449793E-2</v>
      </c>
      <c r="L1388" s="180">
        <v>6.569343065693431E-2</v>
      </c>
      <c r="M1388" s="182">
        <v>6.4766839378238336E-2</v>
      </c>
      <c r="N1388" s="181">
        <v>6.2146892655367235E-2</v>
      </c>
      <c r="O1388" s="180">
        <v>6.8750000000000006E-2</v>
      </c>
      <c r="P1388" s="182">
        <v>6.4202334630350189E-2</v>
      </c>
      <c r="Q1388" s="181">
        <v>0.05</v>
      </c>
      <c r="R1388" s="180">
        <v>0.08</v>
      </c>
      <c r="S1388" s="182">
        <v>0.06</v>
      </c>
      <c r="T1388" s="181">
        <v>3.0303030303030304E-2</v>
      </c>
      <c r="U1388" s="180">
        <v>6.1349693251533742E-2</v>
      </c>
      <c r="V1388" s="182">
        <v>4.1304347826086954E-2</v>
      </c>
      <c r="W1388" s="181">
        <v>6.1583577712609971E-2</v>
      </c>
      <c r="X1388" s="180">
        <v>6.25E-2</v>
      </c>
      <c r="Y1388" s="182">
        <v>6.1855670103092786E-2</v>
      </c>
      <c r="Z1388" s="181">
        <v>2.6627218934911243E-2</v>
      </c>
      <c r="AA1388" s="180">
        <v>6.5420560747663545E-2</v>
      </c>
      <c r="AB1388" s="182">
        <v>3.7122969837587005E-2</v>
      </c>
    </row>
    <row r="1389" spans="1:36" s="41" customFormat="1" ht="15.75" thickBot="1" x14ac:dyDescent="0.3">
      <c r="A1389" s="111" t="s">
        <v>16</v>
      </c>
      <c r="B1389" s="101">
        <f>SUM(B1384:B1388)</f>
        <v>229</v>
      </c>
      <c r="C1389" s="114">
        <f>+B1389/$B$1389</f>
        <v>1</v>
      </c>
      <c r="D1389" s="101">
        <f>SUM(D1384:D1388)</f>
        <v>97</v>
      </c>
      <c r="E1389" s="114">
        <f>+D1389/$D$1389</f>
        <v>1</v>
      </c>
      <c r="F1389" s="101">
        <f>SUM(F1384:F1388)</f>
        <v>326</v>
      </c>
      <c r="G1389" s="114">
        <f>+F1389/$F$1389</f>
        <v>1</v>
      </c>
      <c r="H1389" s="183">
        <v>1</v>
      </c>
      <c r="I1389" s="184">
        <v>1</v>
      </c>
      <c r="J1389" s="185">
        <v>1</v>
      </c>
      <c r="K1389" s="183">
        <v>1</v>
      </c>
      <c r="L1389" s="184">
        <v>1</v>
      </c>
      <c r="M1389" s="185">
        <v>1</v>
      </c>
      <c r="N1389" s="183">
        <v>1</v>
      </c>
      <c r="O1389" s="184">
        <v>1</v>
      </c>
      <c r="P1389" s="185">
        <v>1</v>
      </c>
      <c r="Q1389" s="183">
        <v>1</v>
      </c>
      <c r="R1389" s="184">
        <v>1</v>
      </c>
      <c r="S1389" s="185">
        <v>1</v>
      </c>
      <c r="T1389" s="183">
        <v>1</v>
      </c>
      <c r="U1389" s="184">
        <v>1</v>
      </c>
      <c r="V1389" s="185">
        <v>1</v>
      </c>
      <c r="W1389" s="183">
        <v>1</v>
      </c>
      <c r="X1389" s="184">
        <v>1</v>
      </c>
      <c r="Y1389" s="185">
        <v>1</v>
      </c>
      <c r="Z1389" s="183">
        <v>1</v>
      </c>
      <c r="AA1389" s="184">
        <v>1</v>
      </c>
      <c r="AB1389" s="185">
        <v>1</v>
      </c>
      <c r="AF1389" s="162"/>
    </row>
    <row r="1390" spans="1:36" s="41" customFormat="1" x14ac:dyDescent="0.2">
      <c r="N1390" s="162"/>
    </row>
    <row r="1391" spans="1:36" s="41" customFormat="1" ht="30.75" customHeight="1" x14ac:dyDescent="0.2">
      <c r="K1391" s="212" t="s">
        <v>7209</v>
      </c>
      <c r="L1391" s="213"/>
      <c r="M1391" s="213"/>
      <c r="N1391" s="213"/>
      <c r="O1391" s="213"/>
      <c r="P1391" s="213"/>
      <c r="Q1391" s="213"/>
      <c r="R1391" s="213"/>
    </row>
    <row r="1392" spans="1:36" s="41" customFormat="1" x14ac:dyDescent="0.2">
      <c r="N1392" s="162"/>
    </row>
    <row r="1393" spans="11:18" s="41" customFormat="1" ht="14.25" customHeight="1" x14ac:dyDescent="0.2">
      <c r="K1393" s="219" t="s">
        <v>7205</v>
      </c>
      <c r="L1393" s="219"/>
      <c r="M1393" s="219"/>
      <c r="N1393" s="219"/>
      <c r="O1393" s="219"/>
      <c r="P1393" s="219"/>
      <c r="Q1393" s="219"/>
      <c r="R1393" s="219"/>
    </row>
    <row r="1394" spans="11:18" s="41" customFormat="1" x14ac:dyDescent="0.2">
      <c r="K1394" s="219"/>
      <c r="L1394" s="219"/>
      <c r="M1394" s="219"/>
      <c r="N1394" s="219"/>
      <c r="O1394" s="219"/>
      <c r="P1394" s="219"/>
      <c r="Q1394" s="219"/>
      <c r="R1394" s="219"/>
    </row>
    <row r="1395" spans="11:18" s="41" customFormat="1" ht="14.25" customHeight="1" x14ac:dyDescent="0.2">
      <c r="K1395" s="219" t="s">
        <v>7206</v>
      </c>
      <c r="L1395" s="219"/>
      <c r="M1395" s="219"/>
      <c r="N1395" s="219"/>
      <c r="O1395" s="219"/>
      <c r="P1395" s="219"/>
      <c r="Q1395" s="219"/>
      <c r="R1395" s="219"/>
    </row>
    <row r="1396" spans="11:18" s="41" customFormat="1" x14ac:dyDescent="0.2">
      <c r="K1396" s="219"/>
      <c r="L1396" s="219"/>
      <c r="M1396" s="219"/>
      <c r="N1396" s="219"/>
      <c r="O1396" s="219"/>
      <c r="P1396" s="219"/>
      <c r="Q1396" s="219"/>
      <c r="R1396" s="219"/>
    </row>
    <row r="1397" spans="11:18" s="41" customFormat="1" ht="14.25" customHeight="1" x14ac:dyDescent="0.2">
      <c r="K1397" s="215" t="s">
        <v>7207</v>
      </c>
      <c r="L1397" s="215"/>
      <c r="M1397" s="215"/>
      <c r="N1397" s="215"/>
      <c r="O1397" s="215"/>
      <c r="P1397" s="215"/>
      <c r="Q1397" s="215"/>
      <c r="R1397" s="215"/>
    </row>
    <row r="1398" spans="11:18" s="41" customFormat="1" x14ac:dyDescent="0.2">
      <c r="K1398" s="215"/>
      <c r="L1398" s="215"/>
      <c r="M1398" s="215"/>
      <c r="N1398" s="215"/>
      <c r="O1398" s="215"/>
      <c r="P1398" s="215"/>
      <c r="Q1398" s="215"/>
      <c r="R1398" s="215"/>
    </row>
    <row r="1399" spans="11:18" s="41" customFormat="1" ht="14.25" customHeight="1" x14ac:dyDescent="0.2">
      <c r="K1399" s="215" t="s">
        <v>7208</v>
      </c>
      <c r="L1399" s="215"/>
      <c r="M1399" s="215"/>
      <c r="N1399" s="215"/>
      <c r="O1399" s="215"/>
      <c r="P1399" s="215"/>
      <c r="Q1399" s="215"/>
      <c r="R1399" s="215"/>
    </row>
    <row r="1400" spans="11:18" s="41" customFormat="1" x14ac:dyDescent="0.2">
      <c r="K1400" s="215"/>
      <c r="L1400" s="215"/>
      <c r="M1400" s="215"/>
      <c r="N1400" s="215"/>
      <c r="O1400" s="215"/>
      <c r="P1400" s="215"/>
      <c r="Q1400" s="215"/>
      <c r="R1400" s="215"/>
    </row>
    <row r="1401" spans="11:18" s="41" customFormat="1" x14ac:dyDescent="0.2">
      <c r="N1401" s="162"/>
    </row>
    <row r="1402" spans="11:18" s="41" customFormat="1" x14ac:dyDescent="0.2"/>
    <row r="1403" spans="11:18" s="41" customFormat="1" x14ac:dyDescent="0.2"/>
    <row r="1404" spans="11:18" s="41" customFormat="1" x14ac:dyDescent="0.2">
      <c r="N1404" s="162"/>
    </row>
    <row r="1405" spans="11:18" s="41" customFormat="1" x14ac:dyDescent="0.2">
      <c r="N1405" s="162"/>
    </row>
    <row r="1406" spans="11:18" s="41" customFormat="1" x14ac:dyDescent="0.2">
      <c r="N1406" s="162"/>
    </row>
    <row r="1407" spans="11:18" s="41" customFormat="1" x14ac:dyDescent="0.2">
      <c r="N1407" s="162"/>
    </row>
    <row r="1408" spans="11:18" s="41" customFormat="1" x14ac:dyDescent="0.2">
      <c r="N1408" s="162"/>
    </row>
    <row r="1409" spans="1:32" s="41" customFormat="1" x14ac:dyDescent="0.2">
      <c r="N1409" s="162"/>
    </row>
    <row r="1410" spans="1:32" s="41" customFormat="1" x14ac:dyDescent="0.2">
      <c r="N1410" s="162"/>
    </row>
    <row r="1411" spans="1:32" s="41" customFormat="1" x14ac:dyDescent="0.2">
      <c r="N1411" s="162"/>
    </row>
    <row r="1412" spans="1:32" s="41" customFormat="1" x14ac:dyDescent="0.2">
      <c r="N1412" s="162"/>
    </row>
    <row r="1413" spans="1:32" s="41" customFormat="1" ht="15" thickBot="1" x14ac:dyDescent="0.25">
      <c r="N1413" s="162"/>
    </row>
    <row r="1414" spans="1:32" s="41" customFormat="1" ht="42" customHeight="1" thickBot="1" x14ac:dyDescent="0.25">
      <c r="A1414" s="240" t="s">
        <v>119</v>
      </c>
      <c r="B1414" s="241"/>
      <c r="C1414" s="241"/>
      <c r="D1414" s="241"/>
      <c r="E1414" s="241"/>
      <c r="F1414" s="241"/>
      <c r="G1414" s="242"/>
      <c r="H1414" s="74"/>
      <c r="I1414" s="74"/>
      <c r="J1414" s="74"/>
      <c r="K1414" s="74"/>
      <c r="N1414" s="162"/>
    </row>
    <row r="1415" spans="1:32" s="41" customFormat="1" ht="15.75" thickBot="1" x14ac:dyDescent="0.3">
      <c r="A1415" s="28"/>
      <c r="B1415" s="234" t="str">
        <f>+B73</f>
        <v>Successful</v>
      </c>
      <c r="C1415" s="235"/>
      <c r="D1415" s="236" t="str">
        <f>+D73</f>
        <v>Unsuccessful</v>
      </c>
      <c r="E1415" s="237"/>
      <c r="F1415" s="238" t="s">
        <v>16</v>
      </c>
      <c r="G1415" s="239"/>
      <c r="H1415" s="206">
        <f>+H73</f>
        <v>2021</v>
      </c>
      <c r="I1415" s="207"/>
      <c r="J1415" s="208"/>
      <c r="K1415" s="206">
        <f>+K73</f>
        <v>2020</v>
      </c>
      <c r="L1415" s="207"/>
      <c r="M1415" s="208"/>
      <c r="N1415" s="206">
        <f>+N73</f>
        <v>2019</v>
      </c>
      <c r="O1415" s="207"/>
      <c r="P1415" s="208"/>
      <c r="Q1415" s="206">
        <f>+Q73</f>
        <v>2018</v>
      </c>
      <c r="R1415" s="207"/>
      <c r="S1415" s="208"/>
      <c r="T1415" s="206">
        <f>+T73</f>
        <v>2017</v>
      </c>
      <c r="U1415" s="207"/>
      <c r="V1415" s="208"/>
      <c r="W1415" s="209">
        <f>+W73</f>
        <v>2016</v>
      </c>
      <c r="X1415" s="210"/>
      <c r="Y1415" s="211"/>
      <c r="Z1415" s="209">
        <f>+Z73</f>
        <v>2015</v>
      </c>
      <c r="AA1415" s="210"/>
      <c r="AB1415" s="211"/>
      <c r="AC1415" s="165"/>
      <c r="AF1415" s="162"/>
    </row>
    <row r="1416" spans="1:32" s="41" customFormat="1" ht="29.25" thickBot="1" x14ac:dyDescent="0.25">
      <c r="A1416" s="28"/>
      <c r="B1416" s="29" t="s">
        <v>37</v>
      </c>
      <c r="C1416" s="30" t="s">
        <v>38</v>
      </c>
      <c r="D1416" s="29" t="s">
        <v>37</v>
      </c>
      <c r="E1416" s="30" t="s">
        <v>38</v>
      </c>
      <c r="F1416" s="29" t="s">
        <v>37</v>
      </c>
      <c r="G1416" s="30" t="s">
        <v>38</v>
      </c>
      <c r="H1416" s="186" t="s">
        <v>132</v>
      </c>
      <c r="I1416" s="187" t="s">
        <v>133</v>
      </c>
      <c r="J1416" s="44" t="s">
        <v>16</v>
      </c>
      <c r="K1416" s="186" t="s">
        <v>132</v>
      </c>
      <c r="L1416" s="187" t="s">
        <v>133</v>
      </c>
      <c r="M1416" s="44" t="s">
        <v>16</v>
      </c>
      <c r="N1416" s="186" t="s">
        <v>132</v>
      </c>
      <c r="O1416" s="187" t="s">
        <v>133</v>
      </c>
      <c r="P1416" s="44" t="s">
        <v>16</v>
      </c>
      <c r="Q1416" s="186" t="s">
        <v>132</v>
      </c>
      <c r="R1416" s="187" t="s">
        <v>133</v>
      </c>
      <c r="S1416" s="44" t="s">
        <v>16</v>
      </c>
      <c r="T1416" s="186" t="s">
        <v>132</v>
      </c>
      <c r="U1416" s="187" t="s">
        <v>133</v>
      </c>
      <c r="V1416" s="44" t="s">
        <v>16</v>
      </c>
      <c r="W1416" s="186" t="s">
        <v>132</v>
      </c>
      <c r="X1416" s="187" t="s">
        <v>133</v>
      </c>
      <c r="Y1416" s="44" t="s">
        <v>16</v>
      </c>
      <c r="Z1416" s="186" t="s">
        <v>132</v>
      </c>
      <c r="AA1416" s="187" t="s">
        <v>133</v>
      </c>
      <c r="AB1416" s="44" t="s">
        <v>16</v>
      </c>
    </row>
    <row r="1417" spans="1:32" s="41" customFormat="1" x14ac:dyDescent="0.2">
      <c r="A1417" s="98" t="s">
        <v>134</v>
      </c>
      <c r="B1417" s="31">
        <f>COUNTIFS(DATA!$AV$3:$AV$7183,1,DATA!$D$3:$D$7183,260)</f>
        <v>6</v>
      </c>
      <c r="C1417" s="35">
        <f>IF(B1421=0,0,+B1417/B1421)</f>
        <v>0.6</v>
      </c>
      <c r="D1417" s="31">
        <f>COUNTIFS(DATA!$AV$3:$AV$7183,1,DATA!$D$3:$D$7183,280)</f>
        <v>6</v>
      </c>
      <c r="E1417" s="35">
        <f>+D1417/D1421</f>
        <v>0.5</v>
      </c>
      <c r="F1417" s="31">
        <f>+D1417+B1417</f>
        <v>12</v>
      </c>
      <c r="G1417" s="35">
        <f>+F1417/F1421</f>
        <v>0.54545454545454541</v>
      </c>
      <c r="H1417" s="181">
        <v>0.4</v>
      </c>
      <c r="I1417" s="180">
        <v>0.58333333333333337</v>
      </c>
      <c r="J1417" s="182">
        <v>0.5</v>
      </c>
      <c r="K1417" s="181">
        <v>0.38461538461538464</v>
      </c>
      <c r="L1417" s="180">
        <v>6.25E-2</v>
      </c>
      <c r="M1417" s="182">
        <v>0.20689655172413793</v>
      </c>
      <c r="N1417" s="181">
        <v>0.4</v>
      </c>
      <c r="O1417" s="180">
        <v>0.3611111111111111</v>
      </c>
      <c r="P1417" s="182">
        <v>0.36956521739130432</v>
      </c>
      <c r="Q1417" s="181">
        <v>0.37</v>
      </c>
      <c r="R1417" s="180">
        <v>0.56000000000000005</v>
      </c>
      <c r="S1417" s="182">
        <v>0.46</v>
      </c>
      <c r="T1417" s="181">
        <v>0.52631578947368418</v>
      </c>
      <c r="U1417" s="180">
        <v>0.43478260869565216</v>
      </c>
      <c r="V1417" s="182">
        <v>0.47619047619047616</v>
      </c>
      <c r="W1417" s="181">
        <v>0.58333333333333337</v>
      </c>
      <c r="X1417" s="180">
        <v>0.36363636363636365</v>
      </c>
      <c r="Y1417" s="182">
        <v>0.44117647058823528</v>
      </c>
      <c r="Z1417" s="181">
        <v>0.57894736842105265</v>
      </c>
      <c r="AA1417" s="180">
        <v>0.2857142857142857</v>
      </c>
      <c r="AB1417" s="182">
        <v>0.45454545454545453</v>
      </c>
    </row>
    <row r="1418" spans="1:32" s="41" customFormat="1" ht="26.25" customHeight="1" x14ac:dyDescent="0.2">
      <c r="A1418" s="99" t="s">
        <v>135</v>
      </c>
      <c r="B1418" s="31">
        <f>COUNTIFS(DATA!$AV$3:$AV$7183,2,DATA!$D$3:$D$7183,260)</f>
        <v>3</v>
      </c>
      <c r="C1418" s="35">
        <f>IF(B1421=0,0,+B1418/B1421)</f>
        <v>0.3</v>
      </c>
      <c r="D1418" s="42">
        <f>COUNTIFS(DATA!$AV$3:$AV$7183,2,DATA!$D$3:$D$7183,280)</f>
        <v>5</v>
      </c>
      <c r="E1418" s="35">
        <f>+D1418/D1421</f>
        <v>0.41666666666666669</v>
      </c>
      <c r="F1418" s="42">
        <f t="shared" ref="F1418:F1420" si="144">+D1418+B1418</f>
        <v>8</v>
      </c>
      <c r="G1418" s="35">
        <f>+F1418/F1421</f>
        <v>0.36363636363636365</v>
      </c>
      <c r="H1418" s="181">
        <v>0.3</v>
      </c>
      <c r="I1418" s="180">
        <v>0.33333333333333331</v>
      </c>
      <c r="J1418" s="182">
        <v>0.31818181818181818</v>
      </c>
      <c r="K1418" s="181">
        <v>0.46153846153846156</v>
      </c>
      <c r="L1418" s="180">
        <v>0.5625</v>
      </c>
      <c r="M1418" s="182">
        <v>0.51724137931034486</v>
      </c>
      <c r="N1418" s="181">
        <v>0.2</v>
      </c>
      <c r="O1418" s="180">
        <v>0.3611111111111111</v>
      </c>
      <c r="P1418" s="182">
        <v>0.32608695652173914</v>
      </c>
      <c r="Q1418" s="181">
        <v>0.37</v>
      </c>
      <c r="R1418" s="180">
        <v>0.31</v>
      </c>
      <c r="S1418" s="182">
        <v>0.34</v>
      </c>
      <c r="T1418" s="181">
        <v>0.36842105263157893</v>
      </c>
      <c r="U1418" s="180">
        <v>0.47826086956521741</v>
      </c>
      <c r="V1418" s="182">
        <v>0.42857142857142855</v>
      </c>
      <c r="W1418" s="181">
        <v>0.41666666666666669</v>
      </c>
      <c r="X1418" s="180">
        <v>0.54545454545454541</v>
      </c>
      <c r="Y1418" s="182">
        <v>0.5</v>
      </c>
      <c r="Z1418" s="181">
        <v>0.26315789473684209</v>
      </c>
      <c r="AA1418" s="180">
        <v>0.5714285714285714</v>
      </c>
      <c r="AB1418" s="182">
        <v>0.39393939393939392</v>
      </c>
    </row>
    <row r="1419" spans="1:32" s="41" customFormat="1" ht="28.5" customHeight="1" x14ac:dyDescent="0.2">
      <c r="A1419" s="92" t="s">
        <v>94</v>
      </c>
      <c r="B1419" s="31">
        <f>COUNTIFS(DATA!$AV$3:$AV$7183,"3",DATA!$D$3:$D$7183,260)</f>
        <v>1</v>
      </c>
      <c r="C1419" s="35">
        <f>IF(B1421=0,0,+B1419/B1421)</f>
        <v>0.1</v>
      </c>
      <c r="D1419" s="42">
        <f>COUNTIFS(DATA!$AV$3:$AV$7183,"3",DATA!$D$3:$D$7183,280)</f>
        <v>0</v>
      </c>
      <c r="E1419" s="35">
        <f>+D1419/D1421</f>
        <v>0</v>
      </c>
      <c r="F1419" s="42">
        <f t="shared" si="144"/>
        <v>1</v>
      </c>
      <c r="G1419" s="35">
        <f>+F1419/F1421</f>
        <v>4.5454545454545456E-2</v>
      </c>
      <c r="H1419" s="181">
        <v>0.2</v>
      </c>
      <c r="I1419" s="180">
        <v>8.3333333333333329E-2</v>
      </c>
      <c r="J1419" s="182">
        <v>0.13636363636363635</v>
      </c>
      <c r="K1419" s="181">
        <v>7.6923076923076927E-2</v>
      </c>
      <c r="L1419" s="180">
        <v>0.375</v>
      </c>
      <c r="M1419" s="182">
        <v>0.2413793103448276</v>
      </c>
      <c r="N1419" s="181">
        <v>0</v>
      </c>
      <c r="O1419" s="180">
        <v>0.16666666666666666</v>
      </c>
      <c r="P1419" s="182">
        <v>0.13043478260869565</v>
      </c>
      <c r="Q1419" s="181">
        <v>0.16</v>
      </c>
      <c r="R1419" s="180">
        <v>0.13</v>
      </c>
      <c r="S1419" s="182">
        <v>0.14000000000000001</v>
      </c>
      <c r="T1419" s="181">
        <v>0.10526315789473684</v>
      </c>
      <c r="U1419" s="180">
        <v>8.6956521739130432E-2</v>
      </c>
      <c r="V1419" s="182">
        <v>9.5238095238095233E-2</v>
      </c>
      <c r="W1419" s="181">
        <v>0</v>
      </c>
      <c r="X1419" s="180">
        <v>9.0909090909090912E-2</v>
      </c>
      <c r="Y1419" s="182">
        <v>5.8823529411764705E-2</v>
      </c>
      <c r="Z1419" s="181">
        <v>5.2631578947368418E-2</v>
      </c>
      <c r="AA1419" s="180">
        <v>0.14285714285714285</v>
      </c>
      <c r="AB1419" s="182">
        <v>9.0909090909090912E-2</v>
      </c>
    </row>
    <row r="1420" spans="1:32" s="41" customFormat="1" ht="15" thickBot="1" x14ac:dyDescent="0.25">
      <c r="A1420" s="93" t="s">
        <v>39</v>
      </c>
      <c r="B1420" s="31">
        <f>COUNTIFS(DATA!$AV$3:$AV$7183,"4",DATA!$D$3:$D$7183,260)</f>
        <v>0</v>
      </c>
      <c r="C1420" s="35">
        <f>IF(B1421=0,0,+B1420/B1421)</f>
        <v>0</v>
      </c>
      <c r="D1420" s="42">
        <f>COUNTIFS(DATA!$AV$3:$AV$7183,"4",DATA!$D$3:$D$7183,280)</f>
        <v>1</v>
      </c>
      <c r="E1420" s="35">
        <f>+D1420/D1421</f>
        <v>8.3333333333333329E-2</v>
      </c>
      <c r="F1420" s="42">
        <f t="shared" si="144"/>
        <v>1</v>
      </c>
      <c r="G1420" s="35">
        <f>+F1420/F1421</f>
        <v>4.5454545454545456E-2</v>
      </c>
      <c r="H1420" s="181">
        <v>0.1</v>
      </c>
      <c r="I1420" s="180">
        <v>0</v>
      </c>
      <c r="J1420" s="182">
        <v>4.5454545454545456E-2</v>
      </c>
      <c r="K1420" s="181">
        <v>7.6923076923076927E-2</v>
      </c>
      <c r="L1420" s="180">
        <v>0</v>
      </c>
      <c r="M1420" s="182">
        <v>3.4482758620689655E-2</v>
      </c>
      <c r="N1420" s="181">
        <v>0.4</v>
      </c>
      <c r="O1420" s="180">
        <v>0.1111111111111111</v>
      </c>
      <c r="P1420" s="182">
        <v>0.17391304347826086</v>
      </c>
      <c r="Q1420" s="181">
        <v>0.11</v>
      </c>
      <c r="R1420" s="180">
        <v>0</v>
      </c>
      <c r="S1420" s="182">
        <v>0.06</v>
      </c>
      <c r="T1420" s="181">
        <v>0</v>
      </c>
      <c r="U1420" s="180">
        <v>0</v>
      </c>
      <c r="V1420" s="182">
        <v>0</v>
      </c>
      <c r="W1420" s="181">
        <v>0</v>
      </c>
      <c r="X1420" s="180">
        <v>0</v>
      </c>
      <c r="Y1420" s="182">
        <v>0</v>
      </c>
      <c r="Z1420" s="181">
        <v>0.10526315789473684</v>
      </c>
      <c r="AA1420" s="180">
        <v>0</v>
      </c>
      <c r="AB1420" s="182">
        <v>6.0606060606060608E-2</v>
      </c>
      <c r="AC1420" s="74"/>
      <c r="AF1420" s="162"/>
    </row>
    <row r="1421" spans="1:32" s="41" customFormat="1" ht="15.75" thickBot="1" x14ac:dyDescent="0.3">
      <c r="A1421" s="111" t="s">
        <v>16</v>
      </c>
      <c r="B1421" s="101">
        <f>SUM(B1417:B1420)</f>
        <v>10</v>
      </c>
      <c r="C1421" s="114">
        <f>IF(B1421=0,0,+B1421/B1421)</f>
        <v>1</v>
      </c>
      <c r="D1421" s="101">
        <f>SUM(D1417:D1420)</f>
        <v>12</v>
      </c>
      <c r="E1421" s="114">
        <f>+D1421/D1421</f>
        <v>1</v>
      </c>
      <c r="F1421" s="101">
        <f>SUM(F1417:F1420)</f>
        <v>22</v>
      </c>
      <c r="G1421" s="114">
        <f>+F1421/F1421</f>
        <v>1</v>
      </c>
      <c r="H1421" s="183">
        <v>1</v>
      </c>
      <c r="I1421" s="184">
        <v>1</v>
      </c>
      <c r="J1421" s="185">
        <v>1</v>
      </c>
      <c r="K1421" s="183">
        <v>1</v>
      </c>
      <c r="L1421" s="184">
        <v>1</v>
      </c>
      <c r="M1421" s="185">
        <v>1</v>
      </c>
      <c r="N1421" s="183">
        <v>1</v>
      </c>
      <c r="O1421" s="184">
        <v>1</v>
      </c>
      <c r="P1421" s="185">
        <v>1</v>
      </c>
      <c r="Q1421" s="183">
        <v>1</v>
      </c>
      <c r="R1421" s="184">
        <v>1</v>
      </c>
      <c r="S1421" s="185">
        <v>1</v>
      </c>
      <c r="T1421" s="183">
        <v>1</v>
      </c>
      <c r="U1421" s="184">
        <v>1</v>
      </c>
      <c r="V1421" s="185">
        <v>1</v>
      </c>
      <c r="W1421" s="183">
        <v>1</v>
      </c>
      <c r="X1421" s="184">
        <v>1</v>
      </c>
      <c r="Y1421" s="185">
        <v>1</v>
      </c>
      <c r="Z1421" s="183">
        <v>1</v>
      </c>
      <c r="AA1421" s="184">
        <v>1</v>
      </c>
      <c r="AB1421" s="185">
        <v>1</v>
      </c>
      <c r="AF1421" s="162"/>
    </row>
    <row r="1422" spans="1:32" s="41" customFormat="1" x14ac:dyDescent="0.2">
      <c r="N1422" s="162"/>
    </row>
    <row r="1423" spans="1:32" s="41" customFormat="1" x14ac:dyDescent="0.2">
      <c r="N1423" s="162"/>
    </row>
    <row r="1424" spans="1:32" s="41" customFormat="1" x14ac:dyDescent="0.2">
      <c r="K1424" s="212" t="s">
        <v>142</v>
      </c>
      <c r="L1424" s="213"/>
      <c r="M1424" s="213"/>
      <c r="N1424" s="213"/>
      <c r="O1424" s="213"/>
      <c r="P1424" s="213"/>
      <c r="Q1424" s="213"/>
      <c r="R1424" s="213"/>
    </row>
    <row r="1425" spans="11:18" s="41" customFormat="1" x14ac:dyDescent="0.2">
      <c r="K1425" s="153"/>
      <c r="L1425" s="153"/>
      <c r="M1425" s="153"/>
      <c r="N1425" s="163"/>
      <c r="O1425" s="152"/>
      <c r="P1425" s="151"/>
      <c r="Q1425" s="151"/>
      <c r="R1425" s="151"/>
    </row>
    <row r="1426" spans="11:18" s="41" customFormat="1" ht="14.25" customHeight="1" x14ac:dyDescent="0.2">
      <c r="K1426" s="219" t="s">
        <v>7210</v>
      </c>
      <c r="L1426" s="219"/>
      <c r="M1426" s="219"/>
      <c r="N1426" s="219"/>
      <c r="O1426" s="219"/>
      <c r="P1426" s="219"/>
      <c r="Q1426" s="219"/>
      <c r="R1426" s="219"/>
    </row>
    <row r="1427" spans="11:18" s="41" customFormat="1" x14ac:dyDescent="0.2">
      <c r="K1427" s="219"/>
      <c r="L1427" s="219"/>
      <c r="M1427" s="219"/>
      <c r="N1427" s="219"/>
      <c r="O1427" s="219"/>
      <c r="P1427" s="219"/>
      <c r="Q1427" s="219"/>
      <c r="R1427" s="219"/>
    </row>
    <row r="1428" spans="11:18" s="41" customFormat="1" ht="14.25" customHeight="1" x14ac:dyDescent="0.2">
      <c r="K1428" s="215" t="s">
        <v>7211</v>
      </c>
      <c r="L1428" s="215"/>
      <c r="M1428" s="215"/>
      <c r="N1428" s="215"/>
      <c r="O1428" s="215"/>
      <c r="P1428" s="215"/>
      <c r="Q1428" s="215"/>
      <c r="R1428" s="215"/>
    </row>
    <row r="1429" spans="11:18" s="41" customFormat="1" x14ac:dyDescent="0.2">
      <c r="K1429" s="215"/>
      <c r="L1429" s="215"/>
      <c r="M1429" s="215"/>
      <c r="N1429" s="215"/>
      <c r="O1429" s="215"/>
      <c r="P1429" s="215"/>
      <c r="Q1429" s="215"/>
      <c r="R1429" s="215"/>
    </row>
    <row r="1430" spans="11:18" s="41" customFormat="1" x14ac:dyDescent="0.2">
      <c r="N1430" s="162"/>
    </row>
    <row r="1431" spans="11:18" s="41" customFormat="1" x14ac:dyDescent="0.2">
      <c r="N1431" s="162"/>
    </row>
    <row r="1432" spans="11:18" s="41" customFormat="1" x14ac:dyDescent="0.2">
      <c r="N1432" s="162"/>
    </row>
    <row r="1433" spans="11:18" s="41" customFormat="1" x14ac:dyDescent="0.2">
      <c r="N1433" s="162"/>
    </row>
    <row r="1434" spans="11:18" s="41" customFormat="1" x14ac:dyDescent="0.2">
      <c r="N1434" s="162"/>
    </row>
    <row r="1435" spans="11:18" s="41" customFormat="1" x14ac:dyDescent="0.2">
      <c r="N1435" s="162"/>
    </row>
    <row r="1436" spans="11:18" s="41" customFormat="1" x14ac:dyDescent="0.2">
      <c r="N1436" s="162"/>
    </row>
    <row r="1437" spans="11:18" s="41" customFormat="1" x14ac:dyDescent="0.2">
      <c r="N1437" s="162"/>
    </row>
    <row r="1438" spans="11:18" s="41" customFormat="1" x14ac:dyDescent="0.2">
      <c r="N1438" s="162"/>
    </row>
    <row r="1439" spans="11:18" s="41" customFormat="1" x14ac:dyDescent="0.2">
      <c r="N1439" s="162"/>
    </row>
    <row r="1440" spans="11:18" s="41" customFormat="1" x14ac:dyDescent="0.2">
      <c r="N1440" s="162"/>
    </row>
    <row r="1441" spans="1:32" s="41" customFormat="1" x14ac:dyDescent="0.2">
      <c r="N1441" s="162"/>
    </row>
    <row r="1442" spans="1:32" s="41" customFormat="1" x14ac:dyDescent="0.2">
      <c r="N1442" s="162"/>
    </row>
    <row r="1443" spans="1:32" s="41" customFormat="1" x14ac:dyDescent="0.2">
      <c r="N1443" s="162"/>
    </row>
    <row r="1444" spans="1:32" s="41" customFormat="1" x14ac:dyDescent="0.2">
      <c r="N1444" s="162"/>
    </row>
    <row r="1445" spans="1:32" s="41" customFormat="1" x14ac:dyDescent="0.2">
      <c r="N1445" s="162"/>
    </row>
    <row r="1446" spans="1:32" s="41" customFormat="1" x14ac:dyDescent="0.2">
      <c r="N1446" s="162"/>
    </row>
    <row r="1447" spans="1:32" s="41" customFormat="1" x14ac:dyDescent="0.2">
      <c r="N1447" s="162"/>
    </row>
    <row r="1448" spans="1:32" s="41" customFormat="1" ht="15" thickBot="1" x14ac:dyDescent="0.25">
      <c r="N1448" s="162"/>
    </row>
    <row r="1449" spans="1:32" s="41" customFormat="1" ht="42" customHeight="1" thickBot="1" x14ac:dyDescent="0.25">
      <c r="A1449" s="240" t="s">
        <v>120</v>
      </c>
      <c r="B1449" s="241"/>
      <c r="C1449" s="241"/>
      <c r="D1449" s="241"/>
      <c r="E1449" s="241"/>
      <c r="F1449" s="241"/>
      <c r="G1449" s="242"/>
      <c r="H1449" s="74"/>
      <c r="I1449" s="74"/>
      <c r="J1449" s="74"/>
      <c r="K1449" s="74"/>
      <c r="N1449" s="162"/>
    </row>
    <row r="1450" spans="1:32" s="41" customFormat="1" ht="15.75" thickBot="1" x14ac:dyDescent="0.3">
      <c r="A1450" s="28"/>
      <c r="B1450" s="234" t="str">
        <f>+B73</f>
        <v>Successful</v>
      </c>
      <c r="C1450" s="235"/>
      <c r="D1450" s="236" t="str">
        <f>+D73</f>
        <v>Unsuccessful</v>
      </c>
      <c r="E1450" s="237"/>
      <c r="F1450" s="238" t="s">
        <v>16</v>
      </c>
      <c r="G1450" s="239"/>
      <c r="H1450" s="206">
        <f>+H73</f>
        <v>2021</v>
      </c>
      <c r="I1450" s="207"/>
      <c r="J1450" s="208"/>
      <c r="K1450" s="206">
        <f>+K73</f>
        <v>2020</v>
      </c>
      <c r="L1450" s="207"/>
      <c r="M1450" s="208"/>
      <c r="N1450" s="206">
        <f>+N73</f>
        <v>2019</v>
      </c>
      <c r="O1450" s="207"/>
      <c r="P1450" s="208"/>
      <c r="Q1450" s="206">
        <f>+Q73</f>
        <v>2018</v>
      </c>
      <c r="R1450" s="207"/>
      <c r="S1450" s="208"/>
      <c r="T1450" s="206">
        <f>+T73</f>
        <v>2017</v>
      </c>
      <c r="U1450" s="207"/>
      <c r="V1450" s="208"/>
      <c r="W1450" s="209">
        <f>+W73</f>
        <v>2016</v>
      </c>
      <c r="X1450" s="210"/>
      <c r="Y1450" s="211"/>
      <c r="Z1450" s="209">
        <f>+Z73</f>
        <v>2015</v>
      </c>
      <c r="AA1450" s="210"/>
      <c r="AB1450" s="211"/>
      <c r="AC1450" s="165"/>
      <c r="AF1450" s="162"/>
    </row>
    <row r="1451" spans="1:32" s="41" customFormat="1" ht="29.25" thickBot="1" x14ac:dyDescent="0.25">
      <c r="A1451" s="28"/>
      <c r="B1451" s="29" t="s">
        <v>37</v>
      </c>
      <c r="C1451" s="30" t="s">
        <v>38</v>
      </c>
      <c r="D1451" s="29" t="s">
        <v>37</v>
      </c>
      <c r="E1451" s="30" t="s">
        <v>38</v>
      </c>
      <c r="F1451" s="29" t="s">
        <v>37</v>
      </c>
      <c r="G1451" s="30" t="s">
        <v>38</v>
      </c>
      <c r="H1451" s="186" t="s">
        <v>132</v>
      </c>
      <c r="I1451" s="187" t="s">
        <v>133</v>
      </c>
      <c r="J1451" s="44" t="s">
        <v>16</v>
      </c>
      <c r="K1451" s="186" t="s">
        <v>132</v>
      </c>
      <c r="L1451" s="187" t="s">
        <v>133</v>
      </c>
      <c r="M1451" s="44" t="s">
        <v>16</v>
      </c>
      <c r="N1451" s="186" t="s">
        <v>132</v>
      </c>
      <c r="O1451" s="187" t="s">
        <v>133</v>
      </c>
      <c r="P1451" s="44" t="s">
        <v>16</v>
      </c>
      <c r="Q1451" s="186" t="s">
        <v>132</v>
      </c>
      <c r="R1451" s="187" t="s">
        <v>133</v>
      </c>
      <c r="S1451" s="44" t="s">
        <v>16</v>
      </c>
      <c r="T1451" s="186" t="s">
        <v>132</v>
      </c>
      <c r="U1451" s="187" t="s">
        <v>133</v>
      </c>
      <c r="V1451" s="44" t="s">
        <v>16</v>
      </c>
      <c r="W1451" s="186" t="s">
        <v>132</v>
      </c>
      <c r="X1451" s="187" t="s">
        <v>133</v>
      </c>
      <c r="Y1451" s="44" t="s">
        <v>16</v>
      </c>
      <c r="Z1451" s="186" t="s">
        <v>132</v>
      </c>
      <c r="AA1451" s="187" t="s">
        <v>133</v>
      </c>
      <c r="AB1451" s="44" t="s">
        <v>16</v>
      </c>
    </row>
    <row r="1452" spans="1:32" s="41" customFormat="1" x14ac:dyDescent="0.2">
      <c r="A1452" s="98" t="s">
        <v>134</v>
      </c>
      <c r="B1452" s="31">
        <f>COUNTIFS(DATA!$AW$3:$AW$7183,1,DATA!$D$3:$D$7183,260)</f>
        <v>4</v>
      </c>
      <c r="C1452" s="35">
        <f>IF(B1456=0,0,+B1452/B1456)</f>
        <v>0.4</v>
      </c>
      <c r="D1452" s="31">
        <f>COUNTIFS(DATA!$AW$3:$AW$7183,1,DATA!$D$3:$D$7183,280)</f>
        <v>1</v>
      </c>
      <c r="E1452" s="35">
        <f>+D1452/D1456</f>
        <v>8.3333333333333329E-2</v>
      </c>
      <c r="F1452" s="31">
        <f>+D1452+B1452</f>
        <v>5</v>
      </c>
      <c r="G1452" s="35">
        <f>+F1452/F1456</f>
        <v>0.22727272727272727</v>
      </c>
      <c r="H1452" s="181">
        <v>0.5</v>
      </c>
      <c r="I1452" s="180">
        <v>0.16666666666666666</v>
      </c>
      <c r="J1452" s="182">
        <v>0.31818181818181818</v>
      </c>
      <c r="K1452" s="181">
        <v>0.15384615384615385</v>
      </c>
      <c r="L1452" s="180">
        <v>0.125</v>
      </c>
      <c r="M1452" s="182">
        <v>0.13793103448275862</v>
      </c>
      <c r="N1452" s="181">
        <v>0.2</v>
      </c>
      <c r="O1452" s="180">
        <v>0.27777777777777779</v>
      </c>
      <c r="P1452" s="182">
        <v>0.2608695652173913</v>
      </c>
      <c r="Q1452" s="181">
        <v>0.26</v>
      </c>
      <c r="R1452" s="180">
        <v>0.19</v>
      </c>
      <c r="S1452" s="182">
        <v>0.23</v>
      </c>
      <c r="T1452" s="181">
        <v>0.42105263157894735</v>
      </c>
      <c r="U1452" s="180">
        <v>0.17391304347826086</v>
      </c>
      <c r="V1452" s="182">
        <v>0.2857142857142857</v>
      </c>
      <c r="W1452" s="181">
        <v>0.41666666666666669</v>
      </c>
      <c r="X1452" s="180">
        <v>0.13636363636363635</v>
      </c>
      <c r="Y1452" s="182">
        <v>0.23529411764705882</v>
      </c>
      <c r="Z1452" s="181">
        <v>0.31578947368421051</v>
      </c>
      <c r="AA1452" s="180">
        <v>7.1428571428571425E-2</v>
      </c>
      <c r="AB1452" s="182">
        <v>0.21212121212121213</v>
      </c>
    </row>
    <row r="1453" spans="1:32" s="41" customFormat="1" ht="14.25" customHeight="1" x14ac:dyDescent="0.2">
      <c r="A1453" s="99" t="s">
        <v>135</v>
      </c>
      <c r="B1453" s="31">
        <f>COUNTIFS(DATA!$AW$3:$AW$7183,2,DATA!$D$3:$D$7183,260)</f>
        <v>5</v>
      </c>
      <c r="C1453" s="35">
        <f>IF(B1456=0,0,+B1453/B1456)</f>
        <v>0.5</v>
      </c>
      <c r="D1453" s="42">
        <f>COUNTIFS(DATA!$AW$3:$AW$7183,2,DATA!$D$3:$D$7183,280)</f>
        <v>10</v>
      </c>
      <c r="E1453" s="35">
        <f>+D1453/D1456</f>
        <v>0.83333333333333337</v>
      </c>
      <c r="F1453" s="42">
        <f t="shared" ref="F1453:F1455" si="145">+D1453+B1453</f>
        <v>15</v>
      </c>
      <c r="G1453" s="35">
        <f>+F1453/F1456</f>
        <v>0.68181818181818177</v>
      </c>
      <c r="H1453" s="181">
        <v>0.3</v>
      </c>
      <c r="I1453" s="180">
        <v>0.58333333333333337</v>
      </c>
      <c r="J1453" s="182">
        <v>0.45454545454545453</v>
      </c>
      <c r="K1453" s="181">
        <v>0.69230769230769229</v>
      </c>
      <c r="L1453" s="180">
        <v>0.6875</v>
      </c>
      <c r="M1453" s="182">
        <v>0.68965517241379315</v>
      </c>
      <c r="N1453" s="181">
        <v>0.4</v>
      </c>
      <c r="O1453" s="180">
        <v>0.44444444444444442</v>
      </c>
      <c r="P1453" s="182">
        <v>0.43478260869565216</v>
      </c>
      <c r="Q1453" s="181">
        <v>0.42</v>
      </c>
      <c r="R1453" s="180">
        <v>0.56000000000000005</v>
      </c>
      <c r="S1453" s="182">
        <v>0.49</v>
      </c>
      <c r="T1453" s="181">
        <v>0.47368421052631576</v>
      </c>
      <c r="U1453" s="180">
        <v>0.60869565217391308</v>
      </c>
      <c r="V1453" s="182">
        <v>0.54761904761904767</v>
      </c>
      <c r="W1453" s="181">
        <v>0.5</v>
      </c>
      <c r="X1453" s="180">
        <v>0.68181818181818177</v>
      </c>
      <c r="Y1453" s="182">
        <v>0.61764705882352944</v>
      </c>
      <c r="Z1453" s="181">
        <v>0.47368421052631576</v>
      </c>
      <c r="AA1453" s="180">
        <v>0.8571428571428571</v>
      </c>
      <c r="AB1453" s="182">
        <v>0.63636363636363635</v>
      </c>
    </row>
    <row r="1454" spans="1:32" s="41" customFormat="1" ht="14.25" customHeight="1" x14ac:dyDescent="0.2">
      <c r="A1454" s="92" t="s">
        <v>94</v>
      </c>
      <c r="B1454" s="31">
        <f>COUNTIFS(DATA!$AW$3:$AW$7183,"3",DATA!$D$3:$D$7183,260)</f>
        <v>1</v>
      </c>
      <c r="C1454" s="35">
        <f>IF(B1456=0,0,+B1454/B1456)</f>
        <v>0.1</v>
      </c>
      <c r="D1454" s="42">
        <f>COUNTIFS(DATA!$AW$3:$AW$7183,"3",DATA!$D$3:$D$7183,280)</f>
        <v>0</v>
      </c>
      <c r="E1454" s="35">
        <f>+D1454/D1456</f>
        <v>0</v>
      </c>
      <c r="F1454" s="42">
        <f t="shared" si="145"/>
        <v>1</v>
      </c>
      <c r="G1454" s="35">
        <f>+F1454/F1456</f>
        <v>4.5454545454545456E-2</v>
      </c>
      <c r="H1454" s="181">
        <v>0.1</v>
      </c>
      <c r="I1454" s="180">
        <v>0.25</v>
      </c>
      <c r="J1454" s="182">
        <v>0.18181818181818182</v>
      </c>
      <c r="K1454" s="181">
        <v>7.6923076923076927E-2</v>
      </c>
      <c r="L1454" s="180">
        <v>0.1875</v>
      </c>
      <c r="M1454" s="182">
        <v>0.13793103448275862</v>
      </c>
      <c r="N1454" s="181">
        <v>0</v>
      </c>
      <c r="O1454" s="180">
        <v>0.19444444444444445</v>
      </c>
      <c r="P1454" s="182">
        <v>0.15217391304347827</v>
      </c>
      <c r="Q1454" s="181">
        <v>0.21</v>
      </c>
      <c r="R1454" s="180">
        <v>0.19</v>
      </c>
      <c r="S1454" s="182">
        <v>0.2</v>
      </c>
      <c r="T1454" s="181">
        <v>5.2631578947368418E-2</v>
      </c>
      <c r="U1454" s="180">
        <v>0.21739130434782608</v>
      </c>
      <c r="V1454" s="182">
        <v>0.14285714285714285</v>
      </c>
      <c r="W1454" s="181">
        <v>8.3333333333333329E-2</v>
      </c>
      <c r="X1454" s="180">
        <v>0.18181818181818182</v>
      </c>
      <c r="Y1454" s="182">
        <v>0.14705882352941177</v>
      </c>
      <c r="Z1454" s="181">
        <v>0.10526315789473684</v>
      </c>
      <c r="AA1454" s="180">
        <v>7.1428571428571425E-2</v>
      </c>
      <c r="AB1454" s="182">
        <v>9.0909090909090912E-2</v>
      </c>
    </row>
    <row r="1455" spans="1:32" s="41" customFormat="1" ht="15" thickBot="1" x14ac:dyDescent="0.25">
      <c r="A1455" s="93" t="s">
        <v>39</v>
      </c>
      <c r="B1455" s="31">
        <f>COUNTIFS(DATA!$AW$3:$AW$7183,"4",DATA!$D$3:$D$7183,260)</f>
        <v>0</v>
      </c>
      <c r="C1455" s="35">
        <f>IF(B1456=0,0,+B1455/B1456)</f>
        <v>0</v>
      </c>
      <c r="D1455" s="42">
        <f>COUNTIFS(DATA!$AW$3:$AW$7183,"4",DATA!$D$3:$D$7183,280)</f>
        <v>1</v>
      </c>
      <c r="E1455" s="35">
        <f>+D1455/D1456</f>
        <v>8.3333333333333329E-2</v>
      </c>
      <c r="F1455" s="42">
        <f t="shared" si="145"/>
        <v>1</v>
      </c>
      <c r="G1455" s="35">
        <f>+F1455/F1456</f>
        <v>4.5454545454545456E-2</v>
      </c>
      <c r="H1455" s="181">
        <v>0.1</v>
      </c>
      <c r="I1455" s="180">
        <v>0</v>
      </c>
      <c r="J1455" s="182">
        <v>4.5454545454545456E-2</v>
      </c>
      <c r="K1455" s="181">
        <v>7.6923076923076927E-2</v>
      </c>
      <c r="L1455" s="180">
        <v>0</v>
      </c>
      <c r="M1455" s="182">
        <v>3.4482758620689655E-2</v>
      </c>
      <c r="N1455" s="181">
        <v>0.4</v>
      </c>
      <c r="O1455" s="180">
        <v>8.3333333333333329E-2</v>
      </c>
      <c r="P1455" s="182">
        <v>0.15217391304347827</v>
      </c>
      <c r="Q1455" s="181">
        <v>0.11</v>
      </c>
      <c r="R1455" s="180">
        <v>0.06</v>
      </c>
      <c r="S1455" s="182">
        <v>0.09</v>
      </c>
      <c r="T1455" s="181">
        <v>5.2631578947368418E-2</v>
      </c>
      <c r="U1455" s="180">
        <v>0</v>
      </c>
      <c r="V1455" s="182">
        <v>2.3809523809523808E-2</v>
      </c>
      <c r="W1455" s="181">
        <v>0</v>
      </c>
      <c r="X1455" s="180">
        <v>0</v>
      </c>
      <c r="Y1455" s="182">
        <v>0</v>
      </c>
      <c r="Z1455" s="181">
        <v>0.10526315789473684</v>
      </c>
      <c r="AA1455" s="180">
        <v>0</v>
      </c>
      <c r="AB1455" s="182">
        <v>6.0606060606060608E-2</v>
      </c>
      <c r="AC1455" s="74"/>
      <c r="AF1455" s="162"/>
    </row>
    <row r="1456" spans="1:32" s="41" customFormat="1" ht="15.75" thickBot="1" x14ac:dyDescent="0.3">
      <c r="A1456" s="111" t="s">
        <v>16</v>
      </c>
      <c r="B1456" s="101">
        <f>SUM(B1452:B1455)</f>
        <v>10</v>
      </c>
      <c r="C1456" s="114">
        <f>IF(B1456=0,0,+B1456/B1456)</f>
        <v>1</v>
      </c>
      <c r="D1456" s="101">
        <f>SUM(D1452:D1455)</f>
        <v>12</v>
      </c>
      <c r="E1456" s="114">
        <f>+D1456/D1456</f>
        <v>1</v>
      </c>
      <c r="F1456" s="101">
        <f>SUM(F1452:F1455)</f>
        <v>22</v>
      </c>
      <c r="G1456" s="114">
        <f>+F1456/F1456</f>
        <v>1</v>
      </c>
      <c r="H1456" s="183">
        <v>1</v>
      </c>
      <c r="I1456" s="184">
        <v>1</v>
      </c>
      <c r="J1456" s="185">
        <v>1</v>
      </c>
      <c r="K1456" s="183">
        <v>1</v>
      </c>
      <c r="L1456" s="184">
        <v>1</v>
      </c>
      <c r="M1456" s="185">
        <v>1</v>
      </c>
      <c r="N1456" s="183">
        <v>1</v>
      </c>
      <c r="O1456" s="184">
        <v>1</v>
      </c>
      <c r="P1456" s="185">
        <v>1</v>
      </c>
      <c r="Q1456" s="183">
        <v>1</v>
      </c>
      <c r="R1456" s="184">
        <v>1</v>
      </c>
      <c r="S1456" s="185">
        <v>1</v>
      </c>
      <c r="T1456" s="183">
        <v>1</v>
      </c>
      <c r="U1456" s="184">
        <v>1</v>
      </c>
      <c r="V1456" s="185">
        <v>1</v>
      </c>
      <c r="W1456" s="183">
        <v>1</v>
      </c>
      <c r="X1456" s="184">
        <v>1</v>
      </c>
      <c r="Y1456" s="185">
        <v>1</v>
      </c>
      <c r="Z1456" s="183">
        <v>1</v>
      </c>
      <c r="AA1456" s="184">
        <v>1</v>
      </c>
      <c r="AB1456" s="185">
        <v>1</v>
      </c>
      <c r="AF1456" s="162"/>
    </row>
    <row r="1457" spans="11:18" s="41" customFormat="1" x14ac:dyDescent="0.2">
      <c r="N1457" s="162"/>
    </row>
    <row r="1458" spans="11:18" s="41" customFormat="1" x14ac:dyDescent="0.2">
      <c r="K1458" s="212" t="s">
        <v>142</v>
      </c>
      <c r="L1458" s="213"/>
      <c r="M1458" s="213"/>
      <c r="N1458" s="213"/>
      <c r="O1458" s="213"/>
      <c r="P1458" s="213"/>
      <c r="Q1458" s="213"/>
      <c r="R1458" s="213"/>
    </row>
    <row r="1459" spans="11:18" s="41" customFormat="1" x14ac:dyDescent="0.2">
      <c r="K1459" s="164"/>
      <c r="L1459" s="164"/>
      <c r="M1459" s="164"/>
      <c r="N1459" s="163"/>
      <c r="O1459" s="163"/>
      <c r="P1459" s="162"/>
      <c r="Q1459" s="162"/>
      <c r="R1459" s="162"/>
    </row>
    <row r="1460" spans="11:18" s="41" customFormat="1" x14ac:dyDescent="0.2">
      <c r="K1460" s="221" t="s">
        <v>7212</v>
      </c>
      <c r="L1460" s="219"/>
      <c r="M1460" s="219"/>
      <c r="N1460" s="219"/>
      <c r="O1460" s="219"/>
      <c r="P1460" s="219"/>
      <c r="Q1460" s="219"/>
      <c r="R1460" s="219"/>
    </row>
    <row r="1461" spans="11:18" s="41" customFormat="1" x14ac:dyDescent="0.2">
      <c r="K1461" s="214" t="s">
        <v>7213</v>
      </c>
      <c r="L1461" s="215"/>
      <c r="M1461" s="215"/>
      <c r="N1461" s="215"/>
      <c r="O1461" s="215"/>
      <c r="P1461" s="215"/>
      <c r="Q1461" s="215"/>
      <c r="R1461" s="215"/>
    </row>
    <row r="1462" spans="11:18" s="41" customFormat="1" x14ac:dyDescent="0.2">
      <c r="N1462" s="162"/>
    </row>
    <row r="1463" spans="11:18" s="41" customFormat="1" x14ac:dyDescent="0.2">
      <c r="N1463" s="162"/>
    </row>
    <row r="1464" spans="11:18" s="41" customFormat="1" x14ac:dyDescent="0.2">
      <c r="N1464" s="162"/>
    </row>
    <row r="1465" spans="11:18" s="41" customFormat="1" x14ac:dyDescent="0.2">
      <c r="N1465" s="162"/>
    </row>
    <row r="1466" spans="11:18" s="41" customFormat="1" x14ac:dyDescent="0.2">
      <c r="N1466" s="162"/>
    </row>
    <row r="1467" spans="11:18" s="41" customFormat="1" x14ac:dyDescent="0.2">
      <c r="N1467" s="162"/>
    </row>
    <row r="1468" spans="11:18" s="41" customFormat="1" x14ac:dyDescent="0.2">
      <c r="N1468" s="162"/>
    </row>
    <row r="1469" spans="11:18" s="41" customFormat="1" x14ac:dyDescent="0.2">
      <c r="N1469" s="162"/>
    </row>
    <row r="1470" spans="11:18" s="41" customFormat="1" x14ac:dyDescent="0.2">
      <c r="N1470" s="162"/>
    </row>
    <row r="1471" spans="11:18" s="41" customFormat="1" x14ac:dyDescent="0.2">
      <c r="N1471" s="162"/>
    </row>
    <row r="1472" spans="11:18" s="41" customFormat="1" x14ac:dyDescent="0.2">
      <c r="N1472" s="162"/>
    </row>
    <row r="1473" spans="1:32" s="41" customFormat="1" x14ac:dyDescent="0.2">
      <c r="N1473" s="162"/>
    </row>
    <row r="1474" spans="1:32" s="41" customFormat="1" x14ac:dyDescent="0.2">
      <c r="N1474" s="162"/>
    </row>
    <row r="1475" spans="1:32" s="41" customFormat="1" x14ac:dyDescent="0.2">
      <c r="N1475" s="162"/>
    </row>
    <row r="1476" spans="1:32" s="41" customFormat="1" x14ac:dyDescent="0.2">
      <c r="N1476" s="162"/>
    </row>
    <row r="1477" spans="1:32" s="41" customFormat="1" x14ac:dyDescent="0.2">
      <c r="N1477" s="162"/>
    </row>
    <row r="1478" spans="1:32" s="41" customFormat="1" x14ac:dyDescent="0.2">
      <c r="N1478" s="162"/>
    </row>
    <row r="1479" spans="1:32" s="41" customFormat="1" x14ac:dyDescent="0.2">
      <c r="N1479" s="162"/>
    </row>
    <row r="1480" spans="1:32" s="41" customFormat="1" x14ac:dyDescent="0.2">
      <c r="N1480" s="162"/>
    </row>
    <row r="1481" spans="1:32" s="41" customFormat="1" x14ac:dyDescent="0.2">
      <c r="N1481" s="162"/>
    </row>
    <row r="1482" spans="1:32" s="41" customFormat="1" x14ac:dyDescent="0.2">
      <c r="N1482" s="162"/>
    </row>
    <row r="1483" spans="1:32" s="41" customFormat="1" ht="15" thickBot="1" x14ac:dyDescent="0.25">
      <c r="N1483" s="162"/>
    </row>
    <row r="1484" spans="1:32" s="41" customFormat="1" ht="42" customHeight="1" thickBot="1" x14ac:dyDescent="0.25">
      <c r="A1484" s="240" t="s">
        <v>121</v>
      </c>
      <c r="B1484" s="241"/>
      <c r="C1484" s="241"/>
      <c r="D1484" s="241"/>
      <c r="E1484" s="241"/>
      <c r="F1484" s="241"/>
      <c r="G1484" s="242"/>
      <c r="H1484" s="74"/>
      <c r="I1484" s="74"/>
      <c r="J1484" s="74"/>
      <c r="K1484" s="74"/>
      <c r="N1484" s="162"/>
    </row>
    <row r="1485" spans="1:32" s="41" customFormat="1" ht="15.75" thickBot="1" x14ac:dyDescent="0.3">
      <c r="A1485" s="28"/>
      <c r="B1485" s="234" t="str">
        <f>+B73</f>
        <v>Successful</v>
      </c>
      <c r="C1485" s="235"/>
      <c r="D1485" s="236" t="str">
        <f>+D73</f>
        <v>Unsuccessful</v>
      </c>
      <c r="E1485" s="237"/>
      <c r="F1485" s="238" t="s">
        <v>16</v>
      </c>
      <c r="G1485" s="239"/>
      <c r="H1485" s="206">
        <f>+H73</f>
        <v>2021</v>
      </c>
      <c r="I1485" s="207"/>
      <c r="J1485" s="208"/>
      <c r="K1485" s="206">
        <f>+K73</f>
        <v>2020</v>
      </c>
      <c r="L1485" s="207"/>
      <c r="M1485" s="208"/>
      <c r="N1485" s="206">
        <f>+N73</f>
        <v>2019</v>
      </c>
      <c r="O1485" s="207"/>
      <c r="P1485" s="208"/>
      <c r="Q1485" s="206">
        <f>+Q73</f>
        <v>2018</v>
      </c>
      <c r="R1485" s="207"/>
      <c r="S1485" s="208"/>
      <c r="T1485" s="206">
        <f>+T73</f>
        <v>2017</v>
      </c>
      <c r="U1485" s="207"/>
      <c r="V1485" s="208"/>
      <c r="W1485" s="209">
        <f>+W73</f>
        <v>2016</v>
      </c>
      <c r="X1485" s="210"/>
      <c r="Y1485" s="211"/>
      <c r="Z1485" s="209">
        <f>+Z73</f>
        <v>2015</v>
      </c>
      <c r="AA1485" s="210"/>
      <c r="AB1485" s="211"/>
      <c r="AC1485" s="165"/>
      <c r="AF1485" s="162"/>
    </row>
    <row r="1486" spans="1:32" s="41" customFormat="1" ht="29.25" thickBot="1" x14ac:dyDescent="0.25">
      <c r="A1486" s="28"/>
      <c r="B1486" s="29" t="s">
        <v>37</v>
      </c>
      <c r="C1486" s="30" t="s">
        <v>38</v>
      </c>
      <c r="D1486" s="29" t="s">
        <v>37</v>
      </c>
      <c r="E1486" s="30" t="s">
        <v>38</v>
      </c>
      <c r="F1486" s="29" t="s">
        <v>37</v>
      </c>
      <c r="G1486" s="30" t="s">
        <v>38</v>
      </c>
      <c r="H1486" s="186" t="s">
        <v>132</v>
      </c>
      <c r="I1486" s="187" t="s">
        <v>133</v>
      </c>
      <c r="J1486" s="44" t="s">
        <v>16</v>
      </c>
      <c r="K1486" s="186" t="s">
        <v>132</v>
      </c>
      <c r="L1486" s="187" t="s">
        <v>133</v>
      </c>
      <c r="M1486" s="44" t="s">
        <v>16</v>
      </c>
      <c r="N1486" s="186" t="s">
        <v>132</v>
      </c>
      <c r="O1486" s="187" t="s">
        <v>133</v>
      </c>
      <c r="P1486" s="44" t="s">
        <v>16</v>
      </c>
      <c r="Q1486" s="186" t="s">
        <v>132</v>
      </c>
      <c r="R1486" s="187" t="s">
        <v>133</v>
      </c>
      <c r="S1486" s="44" t="s">
        <v>16</v>
      </c>
      <c r="T1486" s="186" t="s">
        <v>132</v>
      </c>
      <c r="U1486" s="187" t="s">
        <v>133</v>
      </c>
      <c r="V1486" s="44" t="s">
        <v>16</v>
      </c>
      <c r="W1486" s="186" t="s">
        <v>132</v>
      </c>
      <c r="X1486" s="187" t="s">
        <v>133</v>
      </c>
      <c r="Y1486" s="44" t="s">
        <v>16</v>
      </c>
      <c r="Z1486" s="186" t="s">
        <v>132</v>
      </c>
      <c r="AA1486" s="187" t="s">
        <v>133</v>
      </c>
      <c r="AB1486" s="44" t="s">
        <v>16</v>
      </c>
    </row>
    <row r="1487" spans="1:32" s="41" customFormat="1" x14ac:dyDescent="0.2">
      <c r="A1487" s="98" t="s">
        <v>134</v>
      </c>
      <c r="B1487" s="31">
        <f>COUNTIFS(DATA!$AX$3:$AX$7183,1,DATA!$D$3:$D$7183,260)</f>
        <v>4</v>
      </c>
      <c r="C1487" s="35">
        <f>IF(B1491=0,0,+B1487/B1491)</f>
        <v>0.4</v>
      </c>
      <c r="D1487" s="31">
        <f>COUNTIFS(DATA!$AX$3:$AX$7183,1,DATA!$D$3:$D$7183,280)</f>
        <v>3</v>
      </c>
      <c r="E1487" s="35">
        <f>+D1487/D1491</f>
        <v>0.25</v>
      </c>
      <c r="F1487" s="31">
        <f>+D1487+B1487</f>
        <v>7</v>
      </c>
      <c r="G1487" s="35">
        <f>+F1487/F1491</f>
        <v>0.31818181818181818</v>
      </c>
      <c r="H1487" s="181">
        <v>0.5</v>
      </c>
      <c r="I1487" s="180">
        <v>0.16666666666666666</v>
      </c>
      <c r="J1487" s="182">
        <v>0.31818181818181818</v>
      </c>
      <c r="K1487" s="181">
        <v>0.15384615384615385</v>
      </c>
      <c r="L1487" s="180">
        <v>6.25E-2</v>
      </c>
      <c r="M1487" s="182">
        <v>0.10344827586206896</v>
      </c>
      <c r="N1487" s="181">
        <v>0.3</v>
      </c>
      <c r="O1487" s="180">
        <v>0.25</v>
      </c>
      <c r="P1487" s="182">
        <v>0.2608695652173913</v>
      </c>
      <c r="Q1487" s="181">
        <v>0.42</v>
      </c>
      <c r="R1487" s="180">
        <v>0.44</v>
      </c>
      <c r="S1487" s="182">
        <v>0.43</v>
      </c>
      <c r="T1487" s="181">
        <v>0.36842105263157893</v>
      </c>
      <c r="U1487" s="180">
        <v>0.34782608695652173</v>
      </c>
      <c r="V1487" s="182">
        <v>0.35714285714285715</v>
      </c>
      <c r="W1487" s="181">
        <v>0.66666666666666663</v>
      </c>
      <c r="X1487" s="180">
        <v>0.40909090909090912</v>
      </c>
      <c r="Y1487" s="182">
        <v>0.5</v>
      </c>
      <c r="Z1487" s="181">
        <v>0.42105263157894735</v>
      </c>
      <c r="AA1487" s="180">
        <v>7.1428571428571425E-2</v>
      </c>
      <c r="AB1487" s="182">
        <v>0.27272727272727271</v>
      </c>
    </row>
    <row r="1488" spans="1:32" s="41" customFormat="1" ht="28.5" customHeight="1" x14ac:dyDescent="0.2">
      <c r="A1488" s="99" t="s">
        <v>135</v>
      </c>
      <c r="B1488" s="31">
        <f>COUNTIFS(DATA!$AX$3:$AX$7183,2,DATA!$D$3:$D$7183,260)</f>
        <v>4</v>
      </c>
      <c r="C1488" s="35">
        <f>IF(B1491=0,0,+B1488/B1491)</f>
        <v>0.4</v>
      </c>
      <c r="D1488" s="42">
        <f>COUNTIFS(DATA!$AX$3:$AX$7183,2,DATA!$D$3:$D$7183,280)</f>
        <v>7</v>
      </c>
      <c r="E1488" s="35">
        <f>+D1488/D1491</f>
        <v>0.58333333333333337</v>
      </c>
      <c r="F1488" s="42">
        <f t="shared" ref="F1488:F1490" si="146">+D1488+B1488</f>
        <v>11</v>
      </c>
      <c r="G1488" s="35">
        <f>+F1488/F1491</f>
        <v>0.5</v>
      </c>
      <c r="H1488" s="181">
        <v>0.4</v>
      </c>
      <c r="I1488" s="180">
        <v>0.5</v>
      </c>
      <c r="J1488" s="182">
        <v>0.45454545454545453</v>
      </c>
      <c r="K1488" s="181">
        <v>0.76923076923076927</v>
      </c>
      <c r="L1488" s="180">
        <v>0.6875</v>
      </c>
      <c r="M1488" s="182">
        <v>0.72413793103448276</v>
      </c>
      <c r="N1488" s="181">
        <v>0.2</v>
      </c>
      <c r="O1488" s="180">
        <v>0.44444444444444442</v>
      </c>
      <c r="P1488" s="182">
        <v>0.39130434782608697</v>
      </c>
      <c r="Q1488" s="181">
        <v>0.21</v>
      </c>
      <c r="R1488" s="180">
        <v>0.31</v>
      </c>
      <c r="S1488" s="182">
        <v>0.26</v>
      </c>
      <c r="T1488" s="181">
        <v>0.42105263157894735</v>
      </c>
      <c r="U1488" s="180">
        <v>0.56521739130434778</v>
      </c>
      <c r="V1488" s="182">
        <v>0.5</v>
      </c>
      <c r="W1488" s="181">
        <v>0.25</v>
      </c>
      <c r="X1488" s="180">
        <v>0.45454545454545453</v>
      </c>
      <c r="Y1488" s="182">
        <v>0.38235294117647056</v>
      </c>
      <c r="Z1488" s="181">
        <v>0.42105263157894735</v>
      </c>
      <c r="AA1488" s="180">
        <v>0.7857142857142857</v>
      </c>
      <c r="AB1488" s="182">
        <v>0.5757575757575758</v>
      </c>
    </row>
    <row r="1489" spans="1:32" s="41" customFormat="1" ht="28.5" customHeight="1" x14ac:dyDescent="0.2">
      <c r="A1489" s="92" t="s">
        <v>94</v>
      </c>
      <c r="B1489" s="31">
        <f>COUNTIFS(DATA!$AX$3:$AX$7183,"3",DATA!$D$3:$D$7183,260)</f>
        <v>1</v>
      </c>
      <c r="C1489" s="35">
        <f>IF(B1491=0,0,+B1489/B1491)</f>
        <v>0.1</v>
      </c>
      <c r="D1489" s="42">
        <f>COUNTIFS(DATA!$AX$3:$AX$7183,"3",DATA!$D$3:$D$7183,280)</f>
        <v>1</v>
      </c>
      <c r="E1489" s="35">
        <f>+D1489/D1491</f>
        <v>8.3333333333333329E-2</v>
      </c>
      <c r="F1489" s="42">
        <f t="shared" si="146"/>
        <v>2</v>
      </c>
      <c r="G1489" s="35">
        <f>+F1489/F1491</f>
        <v>9.0909090909090912E-2</v>
      </c>
      <c r="H1489" s="181">
        <v>0</v>
      </c>
      <c r="I1489" s="180">
        <v>0.25</v>
      </c>
      <c r="J1489" s="182">
        <v>0.13636363636363635</v>
      </c>
      <c r="K1489" s="181">
        <v>0</v>
      </c>
      <c r="L1489" s="180">
        <v>0.25</v>
      </c>
      <c r="M1489" s="182">
        <v>0.13793103448275862</v>
      </c>
      <c r="N1489" s="181">
        <v>0.1</v>
      </c>
      <c r="O1489" s="180">
        <v>0.22222222222222221</v>
      </c>
      <c r="P1489" s="182">
        <v>0.19565217391304349</v>
      </c>
      <c r="Q1489" s="181">
        <v>0.26</v>
      </c>
      <c r="R1489" s="180">
        <v>0.25</v>
      </c>
      <c r="S1489" s="182">
        <v>0.26</v>
      </c>
      <c r="T1489" s="181">
        <v>0.10526315789473684</v>
      </c>
      <c r="U1489" s="180">
        <v>4.3478260869565216E-2</v>
      </c>
      <c r="V1489" s="182">
        <v>7.1428571428571425E-2</v>
      </c>
      <c r="W1489" s="181">
        <v>8.3333333333333329E-2</v>
      </c>
      <c r="X1489" s="180">
        <v>0.13636363636363635</v>
      </c>
      <c r="Y1489" s="182">
        <v>0.11764705882352941</v>
      </c>
      <c r="Z1489" s="181">
        <v>5.2631578947368418E-2</v>
      </c>
      <c r="AA1489" s="180">
        <v>7.1428571428571425E-2</v>
      </c>
      <c r="AB1489" s="182">
        <v>6.0606060606060608E-2</v>
      </c>
    </row>
    <row r="1490" spans="1:32" s="41" customFormat="1" ht="15" thickBot="1" x14ac:dyDescent="0.25">
      <c r="A1490" s="93" t="s">
        <v>39</v>
      </c>
      <c r="B1490" s="31">
        <f>COUNTIFS(DATA!$AX$3:$AX$7183,"4",DATA!$D$3:$D$7183,260)</f>
        <v>1</v>
      </c>
      <c r="C1490" s="35">
        <f>IF(B1491=0,0,+B1490/B1491)</f>
        <v>0.1</v>
      </c>
      <c r="D1490" s="42">
        <f>COUNTIFS(DATA!$AX$3:$AX$7183,"4",DATA!$D$3:$D$7183,280)</f>
        <v>1</v>
      </c>
      <c r="E1490" s="35">
        <f>+D1490/D1491</f>
        <v>8.3333333333333329E-2</v>
      </c>
      <c r="F1490" s="42">
        <f t="shared" si="146"/>
        <v>2</v>
      </c>
      <c r="G1490" s="35">
        <f>+F1490/F1491</f>
        <v>9.0909090909090912E-2</v>
      </c>
      <c r="H1490" s="181">
        <v>0.1</v>
      </c>
      <c r="I1490" s="180">
        <v>8.3333333333333329E-2</v>
      </c>
      <c r="J1490" s="182">
        <v>9.0909090909090912E-2</v>
      </c>
      <c r="K1490" s="181">
        <v>7.6923076923076927E-2</v>
      </c>
      <c r="L1490" s="180">
        <v>0</v>
      </c>
      <c r="M1490" s="182">
        <v>3.4482758620689655E-2</v>
      </c>
      <c r="N1490" s="181">
        <v>0.4</v>
      </c>
      <c r="O1490" s="180">
        <v>8.3333333333333329E-2</v>
      </c>
      <c r="P1490" s="182">
        <v>0.15217391304347827</v>
      </c>
      <c r="Q1490" s="181">
        <v>0.11</v>
      </c>
      <c r="R1490" s="180">
        <v>0</v>
      </c>
      <c r="S1490" s="182">
        <v>0.06</v>
      </c>
      <c r="T1490" s="181">
        <v>0.10526315789473684</v>
      </c>
      <c r="U1490" s="180">
        <v>4.3478260869565216E-2</v>
      </c>
      <c r="V1490" s="182">
        <v>7.1428571428571425E-2</v>
      </c>
      <c r="W1490" s="181">
        <v>0</v>
      </c>
      <c r="X1490" s="180">
        <v>0</v>
      </c>
      <c r="Y1490" s="182">
        <v>0</v>
      </c>
      <c r="Z1490" s="181">
        <v>0.10526315789473684</v>
      </c>
      <c r="AA1490" s="180">
        <v>7.1428571428571425E-2</v>
      </c>
      <c r="AB1490" s="182">
        <v>9.0909090909090912E-2</v>
      </c>
      <c r="AC1490" s="74"/>
      <c r="AF1490" s="162"/>
    </row>
    <row r="1491" spans="1:32" s="41" customFormat="1" ht="15.75" thickBot="1" x14ac:dyDescent="0.3">
      <c r="A1491" s="111" t="s">
        <v>16</v>
      </c>
      <c r="B1491" s="101">
        <f>SUM(B1487:B1490)</f>
        <v>10</v>
      </c>
      <c r="C1491" s="114">
        <f>IF(B1491=0,0,+B1491/B1491)</f>
        <v>1</v>
      </c>
      <c r="D1491" s="101">
        <f>SUM(D1487:D1490)</f>
        <v>12</v>
      </c>
      <c r="E1491" s="114">
        <f>+D1491/D1491</f>
        <v>1</v>
      </c>
      <c r="F1491" s="101">
        <f>SUM(F1487:F1490)</f>
        <v>22</v>
      </c>
      <c r="G1491" s="114">
        <f>+F1491/F1491</f>
        <v>1</v>
      </c>
      <c r="H1491" s="183">
        <v>1</v>
      </c>
      <c r="I1491" s="184">
        <v>1</v>
      </c>
      <c r="J1491" s="185">
        <v>1</v>
      </c>
      <c r="K1491" s="183">
        <v>1</v>
      </c>
      <c r="L1491" s="184">
        <v>1</v>
      </c>
      <c r="M1491" s="185">
        <v>1</v>
      </c>
      <c r="N1491" s="183">
        <v>1</v>
      </c>
      <c r="O1491" s="184">
        <v>1</v>
      </c>
      <c r="P1491" s="185">
        <v>1</v>
      </c>
      <c r="Q1491" s="183">
        <v>1</v>
      </c>
      <c r="R1491" s="184">
        <v>1</v>
      </c>
      <c r="S1491" s="185">
        <v>1</v>
      </c>
      <c r="T1491" s="183">
        <v>1</v>
      </c>
      <c r="U1491" s="184">
        <v>1</v>
      </c>
      <c r="V1491" s="185">
        <v>1</v>
      </c>
      <c r="W1491" s="183">
        <v>1</v>
      </c>
      <c r="X1491" s="184">
        <v>1</v>
      </c>
      <c r="Y1491" s="185">
        <v>1</v>
      </c>
      <c r="Z1491" s="183">
        <v>1</v>
      </c>
      <c r="AA1491" s="184">
        <v>1</v>
      </c>
      <c r="AB1491" s="185">
        <v>1</v>
      </c>
      <c r="AF1491" s="162"/>
    </row>
    <row r="1492" spans="1:32" s="41" customFormat="1" x14ac:dyDescent="0.2">
      <c r="N1492" s="162"/>
    </row>
    <row r="1493" spans="1:32" s="41" customFormat="1" ht="14.25" customHeight="1" x14ac:dyDescent="0.2">
      <c r="K1493" s="212" t="s">
        <v>142</v>
      </c>
      <c r="L1493" s="213"/>
      <c r="M1493" s="213"/>
      <c r="N1493" s="213"/>
      <c r="O1493" s="213"/>
      <c r="P1493" s="213"/>
      <c r="Q1493" s="213"/>
      <c r="R1493" s="213"/>
    </row>
    <row r="1494" spans="1:32" s="41" customFormat="1" x14ac:dyDescent="0.2">
      <c r="K1494" s="164"/>
      <c r="L1494" s="164"/>
      <c r="M1494" s="164"/>
      <c r="N1494" s="163"/>
      <c r="O1494" s="163"/>
      <c r="P1494" s="162"/>
      <c r="Q1494" s="162"/>
      <c r="R1494" s="162"/>
    </row>
    <row r="1495" spans="1:32" s="41" customFormat="1" ht="14.25" customHeight="1" x14ac:dyDescent="0.2">
      <c r="K1495" s="219" t="s">
        <v>7214</v>
      </c>
      <c r="L1495" s="219"/>
      <c r="M1495" s="219"/>
      <c r="N1495" s="219"/>
      <c r="O1495" s="219"/>
      <c r="P1495" s="219"/>
      <c r="Q1495" s="219"/>
      <c r="R1495" s="219"/>
    </row>
    <row r="1496" spans="1:32" s="41" customFormat="1" x14ac:dyDescent="0.2">
      <c r="K1496" s="219"/>
      <c r="L1496" s="219"/>
      <c r="M1496" s="219"/>
      <c r="N1496" s="219"/>
      <c r="O1496" s="219"/>
      <c r="P1496" s="219"/>
      <c r="Q1496" s="219"/>
      <c r="R1496" s="219"/>
    </row>
    <row r="1497" spans="1:32" s="41" customFormat="1" ht="14.25" customHeight="1" x14ac:dyDescent="0.2">
      <c r="K1497" s="215" t="s">
        <v>7215</v>
      </c>
      <c r="L1497" s="215"/>
      <c r="M1497" s="215"/>
      <c r="N1497" s="215"/>
      <c r="O1497" s="215"/>
      <c r="P1497" s="215"/>
      <c r="Q1497" s="215"/>
      <c r="R1497" s="215"/>
    </row>
    <row r="1498" spans="1:32" s="41" customFormat="1" x14ac:dyDescent="0.2">
      <c r="K1498" s="215"/>
      <c r="L1498" s="215"/>
      <c r="M1498" s="215"/>
      <c r="N1498" s="215"/>
      <c r="O1498" s="215"/>
      <c r="P1498" s="215"/>
      <c r="Q1498" s="215"/>
      <c r="R1498" s="215"/>
    </row>
    <row r="1499" spans="1:32" s="41" customFormat="1" x14ac:dyDescent="0.2">
      <c r="N1499" s="162"/>
    </row>
    <row r="1500" spans="1:32" s="41" customFormat="1" x14ac:dyDescent="0.2">
      <c r="N1500" s="162"/>
    </row>
    <row r="1501" spans="1:32" s="41" customFormat="1" x14ac:dyDescent="0.2">
      <c r="N1501" s="162"/>
    </row>
    <row r="1502" spans="1:32" s="41" customFormat="1" x14ac:dyDescent="0.2">
      <c r="N1502" s="162"/>
    </row>
    <row r="1503" spans="1:32" s="41" customFormat="1" x14ac:dyDescent="0.2">
      <c r="N1503" s="162"/>
    </row>
    <row r="1504" spans="1:32" s="41" customFormat="1" x14ac:dyDescent="0.2">
      <c r="N1504" s="162"/>
    </row>
    <row r="1505" spans="1:32" s="41" customFormat="1" x14ac:dyDescent="0.2">
      <c r="N1505" s="162"/>
    </row>
    <row r="1506" spans="1:32" s="41" customFormat="1" x14ac:dyDescent="0.2">
      <c r="N1506" s="162"/>
    </row>
    <row r="1507" spans="1:32" s="41" customFormat="1" x14ac:dyDescent="0.2">
      <c r="N1507" s="162"/>
    </row>
    <row r="1508" spans="1:32" s="41" customFormat="1" x14ac:dyDescent="0.2">
      <c r="N1508" s="162"/>
    </row>
    <row r="1509" spans="1:32" s="41" customFormat="1" x14ac:dyDescent="0.2">
      <c r="N1509" s="162"/>
    </row>
    <row r="1510" spans="1:32" s="41" customFormat="1" x14ac:dyDescent="0.2">
      <c r="N1510" s="162"/>
    </row>
    <row r="1511" spans="1:32" s="41" customFormat="1" x14ac:dyDescent="0.2">
      <c r="N1511" s="162"/>
    </row>
    <row r="1512" spans="1:32" s="41" customFormat="1" x14ac:dyDescent="0.2">
      <c r="N1512" s="162"/>
    </row>
    <row r="1513" spans="1:32" s="41" customFormat="1" x14ac:dyDescent="0.2">
      <c r="N1513" s="162"/>
    </row>
    <row r="1514" spans="1:32" s="41" customFormat="1" x14ac:dyDescent="0.2">
      <c r="N1514" s="162"/>
    </row>
    <row r="1515" spans="1:32" s="41" customFormat="1" x14ac:dyDescent="0.2">
      <c r="N1515" s="162"/>
    </row>
    <row r="1516" spans="1:32" s="41" customFormat="1" x14ac:dyDescent="0.2">
      <c r="N1516" s="162"/>
    </row>
    <row r="1517" spans="1:32" s="41" customFormat="1" x14ac:dyDescent="0.2">
      <c r="N1517" s="162"/>
    </row>
    <row r="1518" spans="1:32" s="41" customFormat="1" ht="15" thickBot="1" x14ac:dyDescent="0.25">
      <c r="N1518" s="162"/>
    </row>
    <row r="1519" spans="1:32" s="41" customFormat="1" ht="42" customHeight="1" thickBot="1" x14ac:dyDescent="0.25">
      <c r="A1519" s="240" t="s">
        <v>122</v>
      </c>
      <c r="B1519" s="241"/>
      <c r="C1519" s="241"/>
      <c r="D1519" s="241"/>
      <c r="E1519" s="241"/>
      <c r="F1519" s="241"/>
      <c r="G1519" s="242"/>
      <c r="H1519" s="74"/>
      <c r="I1519" s="74"/>
      <c r="J1519" s="74"/>
      <c r="K1519" s="74"/>
      <c r="N1519" s="162"/>
    </row>
    <row r="1520" spans="1:32" s="41" customFormat="1" ht="15.75" thickBot="1" x14ac:dyDescent="0.3">
      <c r="A1520" s="28"/>
      <c r="B1520" s="234" t="str">
        <f>+B73</f>
        <v>Successful</v>
      </c>
      <c r="C1520" s="235"/>
      <c r="D1520" s="236" t="str">
        <f>+D73</f>
        <v>Unsuccessful</v>
      </c>
      <c r="E1520" s="237"/>
      <c r="F1520" s="238" t="s">
        <v>16</v>
      </c>
      <c r="G1520" s="239"/>
      <c r="H1520" s="206">
        <f>+H73</f>
        <v>2021</v>
      </c>
      <c r="I1520" s="207"/>
      <c r="J1520" s="208"/>
      <c r="K1520" s="206">
        <f>+K73</f>
        <v>2020</v>
      </c>
      <c r="L1520" s="207"/>
      <c r="M1520" s="208"/>
      <c r="N1520" s="206">
        <f>+N73</f>
        <v>2019</v>
      </c>
      <c r="O1520" s="207"/>
      <c r="P1520" s="208"/>
      <c r="Q1520" s="206">
        <f>+Q73</f>
        <v>2018</v>
      </c>
      <c r="R1520" s="207"/>
      <c r="S1520" s="208"/>
      <c r="T1520" s="206">
        <f>+T73</f>
        <v>2017</v>
      </c>
      <c r="U1520" s="207"/>
      <c r="V1520" s="208"/>
      <c r="W1520" s="209">
        <f>+W73</f>
        <v>2016</v>
      </c>
      <c r="X1520" s="210"/>
      <c r="Y1520" s="211"/>
      <c r="Z1520" s="209">
        <f>+Z73</f>
        <v>2015</v>
      </c>
      <c r="AA1520" s="210"/>
      <c r="AB1520" s="211"/>
      <c r="AC1520" s="165"/>
      <c r="AF1520" s="162"/>
    </row>
    <row r="1521" spans="1:32" s="41" customFormat="1" ht="29.25" thickBot="1" x14ac:dyDescent="0.25">
      <c r="A1521" s="28"/>
      <c r="B1521" s="29" t="s">
        <v>37</v>
      </c>
      <c r="C1521" s="30" t="s">
        <v>38</v>
      </c>
      <c r="D1521" s="29" t="s">
        <v>37</v>
      </c>
      <c r="E1521" s="30" t="s">
        <v>38</v>
      </c>
      <c r="F1521" s="29" t="s">
        <v>37</v>
      </c>
      <c r="G1521" s="30" t="s">
        <v>38</v>
      </c>
      <c r="H1521" s="186" t="s">
        <v>132</v>
      </c>
      <c r="I1521" s="187" t="s">
        <v>133</v>
      </c>
      <c r="J1521" s="44" t="s">
        <v>16</v>
      </c>
      <c r="K1521" s="186" t="s">
        <v>132</v>
      </c>
      <c r="L1521" s="187" t="s">
        <v>133</v>
      </c>
      <c r="M1521" s="44" t="s">
        <v>16</v>
      </c>
      <c r="N1521" s="186" t="s">
        <v>132</v>
      </c>
      <c r="O1521" s="187" t="s">
        <v>133</v>
      </c>
      <c r="P1521" s="44" t="s">
        <v>16</v>
      </c>
      <c r="Q1521" s="186" t="s">
        <v>132</v>
      </c>
      <c r="R1521" s="187" t="s">
        <v>133</v>
      </c>
      <c r="S1521" s="44" t="s">
        <v>16</v>
      </c>
      <c r="T1521" s="186" t="s">
        <v>132</v>
      </c>
      <c r="U1521" s="187" t="s">
        <v>133</v>
      </c>
      <c r="V1521" s="44" t="s">
        <v>16</v>
      </c>
      <c r="W1521" s="186" t="s">
        <v>132</v>
      </c>
      <c r="X1521" s="187" t="s">
        <v>133</v>
      </c>
      <c r="Y1521" s="44" t="s">
        <v>16</v>
      </c>
      <c r="Z1521" s="186" t="s">
        <v>132</v>
      </c>
      <c r="AA1521" s="187" t="s">
        <v>133</v>
      </c>
      <c r="AB1521" s="44" t="s">
        <v>16</v>
      </c>
    </row>
    <row r="1522" spans="1:32" s="41" customFormat="1" x14ac:dyDescent="0.2">
      <c r="A1522" s="98" t="s">
        <v>134</v>
      </c>
      <c r="B1522" s="31">
        <f>COUNTIFS(DATA!$AY$3:$AY$7183,1,DATA!$D$3:$D$7183,260)</f>
        <v>2</v>
      </c>
      <c r="C1522" s="35">
        <f>IF(B1526=0,0,+B1522/B1526)</f>
        <v>0.2</v>
      </c>
      <c r="D1522" s="31">
        <f>COUNTIFS(DATA!$AY$3:$AY$7183,1,DATA!$D$3:$D$7183,280)</f>
        <v>1</v>
      </c>
      <c r="E1522" s="35">
        <f>+D1522/D1526</f>
        <v>8.3333333333333329E-2</v>
      </c>
      <c r="F1522" s="31">
        <f>+D1522+B1522</f>
        <v>3</v>
      </c>
      <c r="G1522" s="35">
        <f>+F1522/F1526</f>
        <v>0.13636363636363635</v>
      </c>
      <c r="H1522" s="181">
        <v>0.2</v>
      </c>
      <c r="I1522" s="180">
        <v>0.33333333333333331</v>
      </c>
      <c r="J1522" s="182">
        <v>0.27272727272727271</v>
      </c>
      <c r="K1522" s="181">
        <v>0.23076923076923078</v>
      </c>
      <c r="L1522" s="180">
        <v>0</v>
      </c>
      <c r="M1522" s="182">
        <v>0.10344827586206896</v>
      </c>
      <c r="N1522" s="181">
        <v>0.3</v>
      </c>
      <c r="O1522" s="180">
        <v>5.5555555555555552E-2</v>
      </c>
      <c r="P1522" s="182">
        <v>0.10869565217391304</v>
      </c>
      <c r="Q1522" s="181">
        <v>0.21</v>
      </c>
      <c r="R1522" s="180">
        <v>0.25</v>
      </c>
      <c r="S1522" s="182">
        <v>0.23</v>
      </c>
      <c r="T1522" s="181">
        <v>0.47368421052631576</v>
      </c>
      <c r="U1522" s="180">
        <v>0.17391304347826086</v>
      </c>
      <c r="V1522" s="182">
        <v>0.30952380952380953</v>
      </c>
      <c r="W1522" s="181">
        <v>0.41666666666666669</v>
      </c>
      <c r="X1522" s="180">
        <v>0.18181818181818182</v>
      </c>
      <c r="Y1522" s="182">
        <v>0.26470588235294118</v>
      </c>
      <c r="Z1522" s="181">
        <v>0.36842105263157893</v>
      </c>
      <c r="AA1522" s="180">
        <v>7.1428571428571425E-2</v>
      </c>
      <c r="AB1522" s="182">
        <v>0.24242424242424243</v>
      </c>
    </row>
    <row r="1523" spans="1:32" s="41" customFormat="1" ht="30" customHeight="1" x14ac:dyDescent="0.2">
      <c r="A1523" s="99" t="s">
        <v>135</v>
      </c>
      <c r="B1523" s="31">
        <f>COUNTIFS(DATA!$AY$3:$AY$7183,2,DATA!$D$3:$D$7183,260)</f>
        <v>6</v>
      </c>
      <c r="C1523" s="35">
        <f>IF(B1526=0,0,+B1523/B1526)</f>
        <v>0.6</v>
      </c>
      <c r="D1523" s="42">
        <f>COUNTIFS(DATA!$AY$3:$AY$7183,2,DATA!$D$3:$D$7183,280)</f>
        <v>9</v>
      </c>
      <c r="E1523" s="35">
        <f>+D1523/D1526</f>
        <v>0.75</v>
      </c>
      <c r="F1523" s="42">
        <f t="shared" ref="F1523:F1525" si="147">+D1523+B1523</f>
        <v>15</v>
      </c>
      <c r="G1523" s="35">
        <f>+F1523/F1526</f>
        <v>0.68181818181818177</v>
      </c>
      <c r="H1523" s="181">
        <v>0.5</v>
      </c>
      <c r="I1523" s="180">
        <v>0.41666666666666669</v>
      </c>
      <c r="J1523" s="182">
        <v>0.45454545454545453</v>
      </c>
      <c r="K1523" s="181">
        <v>0.69230769230769229</v>
      </c>
      <c r="L1523" s="180">
        <v>0.75</v>
      </c>
      <c r="M1523" s="182">
        <v>0.72413793103448276</v>
      </c>
      <c r="N1523" s="181">
        <v>0.2</v>
      </c>
      <c r="O1523" s="180">
        <v>0.61111111111111116</v>
      </c>
      <c r="P1523" s="182">
        <v>0.52173913043478259</v>
      </c>
      <c r="Q1523" s="181">
        <v>0.53</v>
      </c>
      <c r="R1523" s="180">
        <v>0.5</v>
      </c>
      <c r="S1523" s="182">
        <v>0.51</v>
      </c>
      <c r="T1523" s="181">
        <v>0.47368421052631576</v>
      </c>
      <c r="U1523" s="180">
        <v>0.69565217391304346</v>
      </c>
      <c r="V1523" s="182">
        <v>0.59523809523809523</v>
      </c>
      <c r="W1523" s="181">
        <v>0.5</v>
      </c>
      <c r="X1523" s="180">
        <v>0.68181818181818177</v>
      </c>
      <c r="Y1523" s="182">
        <v>0.61764705882352944</v>
      </c>
      <c r="Z1523" s="181">
        <v>0.47368421052631576</v>
      </c>
      <c r="AA1523" s="180">
        <v>0.8571428571428571</v>
      </c>
      <c r="AB1523" s="182">
        <v>0.63636363636363635</v>
      </c>
    </row>
    <row r="1524" spans="1:32" s="41" customFormat="1" ht="28.5" customHeight="1" x14ac:dyDescent="0.2">
      <c r="A1524" s="92" t="s">
        <v>94</v>
      </c>
      <c r="B1524" s="31">
        <f>COUNTIFS(DATA!$AY$3:$AY$7183,"3",DATA!$D$3:$D$7183,260)</f>
        <v>2</v>
      </c>
      <c r="C1524" s="35">
        <f>IF(B1526=0,0,+B1524/B1526)</f>
        <v>0.2</v>
      </c>
      <c r="D1524" s="42">
        <f>COUNTIFS(DATA!$AY$3:$AY$7183,"3",DATA!$D$3:$D$7183,280)</f>
        <v>1</v>
      </c>
      <c r="E1524" s="35">
        <f>+D1524/D1526</f>
        <v>8.3333333333333329E-2</v>
      </c>
      <c r="F1524" s="42">
        <f t="shared" si="147"/>
        <v>3</v>
      </c>
      <c r="G1524" s="35">
        <f>+F1524/F1526</f>
        <v>0.13636363636363635</v>
      </c>
      <c r="H1524" s="181">
        <v>0.2</v>
      </c>
      <c r="I1524" s="180">
        <v>0.16666666666666666</v>
      </c>
      <c r="J1524" s="182">
        <v>0.18181818181818182</v>
      </c>
      <c r="K1524" s="181">
        <v>0</v>
      </c>
      <c r="L1524" s="180">
        <v>0.25</v>
      </c>
      <c r="M1524" s="182">
        <v>0.13793103448275862</v>
      </c>
      <c r="N1524" s="181">
        <v>0.1</v>
      </c>
      <c r="O1524" s="180">
        <v>0.25</v>
      </c>
      <c r="P1524" s="182">
        <v>0.21739130434782608</v>
      </c>
      <c r="Q1524" s="181">
        <v>0.16</v>
      </c>
      <c r="R1524" s="180">
        <v>0.19</v>
      </c>
      <c r="S1524" s="182">
        <v>0.17</v>
      </c>
      <c r="T1524" s="181">
        <v>5.2631578947368418E-2</v>
      </c>
      <c r="U1524" s="180">
        <v>0.13043478260869565</v>
      </c>
      <c r="V1524" s="182">
        <v>9.5238095238095233E-2</v>
      </c>
      <c r="W1524" s="181">
        <v>8.3333333333333329E-2</v>
      </c>
      <c r="X1524" s="180">
        <v>0.13636363636363635</v>
      </c>
      <c r="Y1524" s="182">
        <v>0.11764705882352941</v>
      </c>
      <c r="Z1524" s="181">
        <v>5.2631578947368418E-2</v>
      </c>
      <c r="AA1524" s="180">
        <v>7.1428571428571425E-2</v>
      </c>
      <c r="AB1524" s="182">
        <v>6.0606060606060608E-2</v>
      </c>
    </row>
    <row r="1525" spans="1:32" s="41" customFormat="1" ht="15" thickBot="1" x14ac:dyDescent="0.25">
      <c r="A1525" s="93" t="s">
        <v>39</v>
      </c>
      <c r="B1525" s="31">
        <f>COUNTIFS(DATA!$AY$3:$AY$7183,"4",DATA!$D$3:$D$7183,260)</f>
        <v>0</v>
      </c>
      <c r="C1525" s="35">
        <f>IF(B1526=0,0,+B1525/B1526)</f>
        <v>0</v>
      </c>
      <c r="D1525" s="42">
        <f>COUNTIFS(DATA!$AY$3:$AY$7183,"4",DATA!$D$3:$D$7183,280)</f>
        <v>1</v>
      </c>
      <c r="E1525" s="35">
        <f>+D1525/D1526</f>
        <v>8.3333333333333329E-2</v>
      </c>
      <c r="F1525" s="42">
        <f t="shared" si="147"/>
        <v>1</v>
      </c>
      <c r="G1525" s="35">
        <f>+F1525/F1526</f>
        <v>4.5454545454545456E-2</v>
      </c>
      <c r="H1525" s="181">
        <v>0.1</v>
      </c>
      <c r="I1525" s="180">
        <v>8.3333333333333329E-2</v>
      </c>
      <c r="J1525" s="182">
        <v>9.0909090909090912E-2</v>
      </c>
      <c r="K1525" s="181">
        <v>7.6923076923076927E-2</v>
      </c>
      <c r="L1525" s="180">
        <v>0</v>
      </c>
      <c r="M1525" s="182">
        <v>3.4482758620689655E-2</v>
      </c>
      <c r="N1525" s="181">
        <v>0.4</v>
      </c>
      <c r="O1525" s="180">
        <v>8.3333333333333329E-2</v>
      </c>
      <c r="P1525" s="182">
        <v>0.15217391304347827</v>
      </c>
      <c r="Q1525" s="181">
        <v>0.11</v>
      </c>
      <c r="R1525" s="180">
        <v>0.06</v>
      </c>
      <c r="S1525" s="182">
        <v>0.09</v>
      </c>
      <c r="T1525" s="181">
        <v>0</v>
      </c>
      <c r="U1525" s="180">
        <v>0</v>
      </c>
      <c r="V1525" s="182">
        <v>0</v>
      </c>
      <c r="W1525" s="181">
        <v>0</v>
      </c>
      <c r="X1525" s="180">
        <v>0</v>
      </c>
      <c r="Y1525" s="182">
        <v>0</v>
      </c>
      <c r="Z1525" s="181">
        <v>0.10526315789473684</v>
      </c>
      <c r="AA1525" s="180">
        <v>0</v>
      </c>
      <c r="AB1525" s="182">
        <v>6.0606060606060608E-2</v>
      </c>
      <c r="AC1525" s="74"/>
      <c r="AF1525" s="162"/>
    </row>
    <row r="1526" spans="1:32" s="41" customFormat="1" ht="15.75" thickBot="1" x14ac:dyDescent="0.3">
      <c r="A1526" s="111" t="s">
        <v>16</v>
      </c>
      <c r="B1526" s="101">
        <f>SUM(B1522:B1525)</f>
        <v>10</v>
      </c>
      <c r="C1526" s="114">
        <f>IF(B1526=0,0,+B1526/B1526)</f>
        <v>1</v>
      </c>
      <c r="D1526" s="101">
        <f>SUM(D1522:D1525)</f>
        <v>12</v>
      </c>
      <c r="E1526" s="114">
        <f>+D1526/D1526</f>
        <v>1</v>
      </c>
      <c r="F1526" s="101">
        <f>SUM(F1522:F1525)</f>
        <v>22</v>
      </c>
      <c r="G1526" s="114">
        <f>+F1526/F1526</f>
        <v>1</v>
      </c>
      <c r="H1526" s="183">
        <v>1</v>
      </c>
      <c r="I1526" s="184">
        <v>1</v>
      </c>
      <c r="J1526" s="185">
        <v>1</v>
      </c>
      <c r="K1526" s="183">
        <v>1</v>
      </c>
      <c r="L1526" s="184">
        <v>1</v>
      </c>
      <c r="M1526" s="185">
        <v>1</v>
      </c>
      <c r="N1526" s="183">
        <v>1</v>
      </c>
      <c r="O1526" s="184">
        <v>1</v>
      </c>
      <c r="P1526" s="185">
        <v>1</v>
      </c>
      <c r="Q1526" s="183">
        <v>1</v>
      </c>
      <c r="R1526" s="184">
        <v>1</v>
      </c>
      <c r="S1526" s="185">
        <v>1</v>
      </c>
      <c r="T1526" s="183">
        <v>1</v>
      </c>
      <c r="U1526" s="184">
        <v>1</v>
      </c>
      <c r="V1526" s="185">
        <v>1</v>
      </c>
      <c r="W1526" s="183">
        <v>1</v>
      </c>
      <c r="X1526" s="184">
        <v>1</v>
      </c>
      <c r="Y1526" s="185">
        <v>1</v>
      </c>
      <c r="Z1526" s="183">
        <v>1</v>
      </c>
      <c r="AA1526" s="184">
        <v>1</v>
      </c>
      <c r="AB1526" s="185">
        <v>1</v>
      </c>
      <c r="AF1526" s="162"/>
    </row>
    <row r="1527" spans="1:32" s="41" customFormat="1" x14ac:dyDescent="0.2">
      <c r="N1527" s="162"/>
    </row>
    <row r="1528" spans="1:32" s="41" customFormat="1" ht="27.75" customHeight="1" x14ac:dyDescent="0.2">
      <c r="K1528" s="212" t="s">
        <v>188</v>
      </c>
      <c r="L1528" s="213"/>
      <c r="M1528" s="213"/>
      <c r="N1528" s="213"/>
      <c r="O1528" s="213"/>
      <c r="P1528" s="213"/>
      <c r="Q1528" s="213"/>
      <c r="R1528" s="213"/>
    </row>
    <row r="1529" spans="1:32" s="41" customFormat="1" x14ac:dyDescent="0.2">
      <c r="K1529" s="164"/>
      <c r="L1529" s="164"/>
      <c r="M1529" s="164"/>
      <c r="N1529" s="163"/>
      <c r="O1529" s="163"/>
      <c r="P1529" s="162"/>
      <c r="Q1529" s="162"/>
      <c r="R1529" s="162"/>
    </row>
    <row r="1530" spans="1:32" s="41" customFormat="1" ht="14.25" customHeight="1" x14ac:dyDescent="0.2">
      <c r="K1530" s="219" t="s">
        <v>7216</v>
      </c>
      <c r="L1530" s="219"/>
      <c r="M1530" s="219"/>
      <c r="N1530" s="219"/>
      <c r="O1530" s="219"/>
      <c r="P1530" s="219"/>
      <c r="Q1530" s="219"/>
      <c r="R1530" s="219"/>
    </row>
    <row r="1531" spans="1:32" s="41" customFormat="1" x14ac:dyDescent="0.2">
      <c r="K1531" s="219"/>
      <c r="L1531" s="219"/>
      <c r="M1531" s="219"/>
      <c r="N1531" s="219"/>
      <c r="O1531" s="219"/>
      <c r="P1531" s="219"/>
      <c r="Q1531" s="219"/>
      <c r="R1531" s="219"/>
    </row>
    <row r="1532" spans="1:32" s="41" customFormat="1" ht="14.25" customHeight="1" x14ac:dyDescent="0.2">
      <c r="K1532" s="215" t="s">
        <v>7217</v>
      </c>
      <c r="L1532" s="215"/>
      <c r="M1532" s="215"/>
      <c r="N1532" s="215"/>
      <c r="O1532" s="215"/>
      <c r="P1532" s="215"/>
      <c r="Q1532" s="215"/>
      <c r="R1532" s="215"/>
    </row>
    <row r="1533" spans="1:32" s="41" customFormat="1" x14ac:dyDescent="0.2">
      <c r="K1533" s="215"/>
      <c r="L1533" s="215"/>
      <c r="M1533" s="215"/>
      <c r="N1533" s="215"/>
      <c r="O1533" s="215"/>
      <c r="P1533" s="215"/>
      <c r="Q1533" s="215"/>
      <c r="R1533" s="215"/>
    </row>
    <row r="1534" spans="1:32" s="41" customFormat="1" x14ac:dyDescent="0.2">
      <c r="N1534" s="162"/>
    </row>
    <row r="1535" spans="1:32" s="41" customFormat="1" x14ac:dyDescent="0.2">
      <c r="N1535" s="162"/>
    </row>
    <row r="1536" spans="1:32" s="41" customFormat="1" x14ac:dyDescent="0.2">
      <c r="N1536" s="162"/>
    </row>
    <row r="1537" spans="14:14" s="41" customFormat="1" x14ac:dyDescent="0.2">
      <c r="N1537" s="162"/>
    </row>
    <row r="1538" spans="14:14" s="41" customFormat="1" x14ac:dyDescent="0.2">
      <c r="N1538" s="162"/>
    </row>
    <row r="1539" spans="14:14" s="41" customFormat="1" x14ac:dyDescent="0.2">
      <c r="N1539" s="162"/>
    </row>
    <row r="1540" spans="14:14" s="41" customFormat="1" x14ac:dyDescent="0.2">
      <c r="N1540" s="162"/>
    </row>
    <row r="1541" spans="14:14" s="41" customFormat="1" x14ac:dyDescent="0.2">
      <c r="N1541" s="162"/>
    </row>
    <row r="1542" spans="14:14" s="41" customFormat="1" x14ac:dyDescent="0.2">
      <c r="N1542" s="162"/>
    </row>
    <row r="1543" spans="14:14" s="41" customFormat="1" x14ac:dyDescent="0.2">
      <c r="N1543" s="162"/>
    </row>
    <row r="1544" spans="14:14" s="41" customFormat="1" x14ac:dyDescent="0.2">
      <c r="N1544" s="162"/>
    </row>
    <row r="1545" spans="14:14" s="41" customFormat="1" x14ac:dyDescent="0.2">
      <c r="N1545" s="162"/>
    </row>
    <row r="1546" spans="14:14" s="41" customFormat="1" x14ac:dyDescent="0.2">
      <c r="N1546" s="162"/>
    </row>
    <row r="1547" spans="14:14" s="41" customFormat="1" x14ac:dyDescent="0.2">
      <c r="N1547" s="162"/>
    </row>
    <row r="1548" spans="14:14" s="41" customFormat="1" x14ac:dyDescent="0.2">
      <c r="N1548" s="162"/>
    </row>
    <row r="1549" spans="14:14" s="41" customFormat="1" x14ac:dyDescent="0.2">
      <c r="N1549" s="162"/>
    </row>
    <row r="1550" spans="14:14" s="41" customFormat="1" x14ac:dyDescent="0.2">
      <c r="N1550" s="162"/>
    </row>
    <row r="1551" spans="14:14" s="41" customFormat="1" x14ac:dyDescent="0.2">
      <c r="N1551" s="162"/>
    </row>
    <row r="1552" spans="14:14" s="41" customFormat="1" x14ac:dyDescent="0.2">
      <c r="N1552" s="162"/>
    </row>
    <row r="1553" spans="1:36" s="41" customFormat="1" ht="15" thickBot="1" x14ac:dyDescent="0.25">
      <c r="N1553" s="162"/>
    </row>
    <row r="1554" spans="1:36" s="41" customFormat="1" ht="57" customHeight="1" thickBot="1" x14ac:dyDescent="0.25">
      <c r="A1554" s="240" t="s">
        <v>171</v>
      </c>
      <c r="B1554" s="241"/>
      <c r="C1554" s="241"/>
      <c r="D1554" s="241"/>
      <c r="E1554" s="241"/>
      <c r="F1554" s="241"/>
      <c r="G1554" s="242"/>
      <c r="H1554" s="74"/>
      <c r="I1554" s="74"/>
      <c r="J1554" s="74"/>
      <c r="K1554" s="74"/>
      <c r="N1554" s="162"/>
    </row>
    <row r="1555" spans="1:36" s="41" customFormat="1" ht="15.75" thickBot="1" x14ac:dyDescent="0.3">
      <c r="A1555" s="28"/>
      <c r="B1555" s="234" t="str">
        <f>+B73</f>
        <v>Successful</v>
      </c>
      <c r="C1555" s="235"/>
      <c r="D1555" s="236" t="str">
        <f>+D73</f>
        <v>Unsuccessful</v>
      </c>
      <c r="E1555" s="237"/>
      <c r="F1555" s="238" t="s">
        <v>16</v>
      </c>
      <c r="G1555" s="239"/>
      <c r="H1555" s="206">
        <f>+H73</f>
        <v>2021</v>
      </c>
      <c r="I1555" s="207"/>
      <c r="J1555" s="208"/>
      <c r="K1555" s="206">
        <f>+K73</f>
        <v>2020</v>
      </c>
      <c r="L1555" s="207"/>
      <c r="M1555" s="208"/>
      <c r="N1555" s="206">
        <f>+N73</f>
        <v>2019</v>
      </c>
      <c r="O1555" s="207"/>
      <c r="P1555" s="208"/>
      <c r="Q1555" s="206">
        <f>+Q73</f>
        <v>2018</v>
      </c>
      <c r="R1555" s="207"/>
      <c r="S1555" s="208"/>
      <c r="T1555" s="206">
        <f>+T73</f>
        <v>2017</v>
      </c>
      <c r="U1555" s="207"/>
      <c r="V1555" s="208"/>
      <c r="W1555" s="209">
        <f>+W73</f>
        <v>2016</v>
      </c>
      <c r="X1555" s="210"/>
      <c r="Y1555" s="211"/>
      <c r="Z1555" s="209">
        <f>+Z73</f>
        <v>2015</v>
      </c>
      <c r="AA1555" s="210"/>
      <c r="AB1555" s="211"/>
      <c r="AC1555" s="165"/>
      <c r="AF1555" s="162"/>
    </row>
    <row r="1556" spans="1:36" s="41" customFormat="1" ht="29.25" customHeight="1" thickBot="1" x14ac:dyDescent="0.25">
      <c r="A1556" s="28"/>
      <c r="B1556" s="29" t="s">
        <v>37</v>
      </c>
      <c r="C1556" s="30" t="s">
        <v>38</v>
      </c>
      <c r="D1556" s="29" t="s">
        <v>37</v>
      </c>
      <c r="E1556" s="30" t="s">
        <v>38</v>
      </c>
      <c r="F1556" s="29" t="s">
        <v>37</v>
      </c>
      <c r="G1556" s="30" t="s">
        <v>38</v>
      </c>
      <c r="H1556" s="186" t="s">
        <v>132</v>
      </c>
      <c r="I1556" s="187" t="s">
        <v>133</v>
      </c>
      <c r="J1556" s="44" t="s">
        <v>16</v>
      </c>
      <c r="K1556" s="186" t="s">
        <v>132</v>
      </c>
      <c r="L1556" s="187" t="s">
        <v>133</v>
      </c>
      <c r="M1556" s="44" t="s">
        <v>16</v>
      </c>
      <c r="N1556" s="186" t="s">
        <v>132</v>
      </c>
      <c r="O1556" s="187" t="s">
        <v>133</v>
      </c>
      <c r="P1556" s="44" t="s">
        <v>16</v>
      </c>
      <c r="Q1556" s="186" t="s">
        <v>132</v>
      </c>
      <c r="R1556" s="187" t="s">
        <v>133</v>
      </c>
      <c r="S1556" s="44" t="s">
        <v>16</v>
      </c>
      <c r="T1556" s="186" t="s">
        <v>132</v>
      </c>
      <c r="U1556" s="187" t="s">
        <v>133</v>
      </c>
      <c r="V1556" s="44" t="s">
        <v>16</v>
      </c>
      <c r="W1556" s="186" t="s">
        <v>132</v>
      </c>
      <c r="X1556" s="187" t="s">
        <v>133</v>
      </c>
      <c r="Y1556" s="44" t="s">
        <v>16</v>
      </c>
      <c r="Z1556" s="186" t="s">
        <v>132</v>
      </c>
      <c r="AA1556" s="187" t="s">
        <v>133</v>
      </c>
      <c r="AB1556" s="44" t="s">
        <v>16</v>
      </c>
    </row>
    <row r="1557" spans="1:36" s="41" customFormat="1" ht="14.25" customHeight="1" x14ac:dyDescent="0.2">
      <c r="A1557" s="98" t="s">
        <v>134</v>
      </c>
      <c r="B1557" s="31">
        <f>COUNTIFS(DATA!$AZ$3:$AZ$7183,1,DATA!$D$3:$D$7183,260)</f>
        <v>188</v>
      </c>
      <c r="C1557" s="35">
        <f>+B1557/$B$1562</f>
        <v>0.82096069868995636</v>
      </c>
      <c r="D1557" s="31">
        <f>COUNTIFS(DATA!$AZ$3:$AZ$7183,1,DATA!$D$3:$D$7183,280)</f>
        <v>64</v>
      </c>
      <c r="E1557" s="35">
        <f>+D1557/$D$1562</f>
        <v>0.65979381443298968</v>
      </c>
      <c r="F1557" s="31">
        <f>+D1557+B1557</f>
        <v>252</v>
      </c>
      <c r="G1557" s="35">
        <f>+F1557/$F$1562</f>
        <v>0.77300613496932513</v>
      </c>
      <c r="H1557" s="181">
        <v>0.76811594202898548</v>
      </c>
      <c r="I1557" s="180">
        <v>0.59782608695652173</v>
      </c>
      <c r="J1557" s="182">
        <v>0.71571906354515047</v>
      </c>
      <c r="K1557" s="181">
        <v>0.79518072289156627</v>
      </c>
      <c r="L1557" s="180">
        <v>0.67883211678832112</v>
      </c>
      <c r="M1557" s="182">
        <v>0.75388601036269431</v>
      </c>
      <c r="N1557" s="181">
        <v>0.80225988700564976</v>
      </c>
      <c r="O1557" s="180">
        <v>0.56874999999999998</v>
      </c>
      <c r="P1557" s="182">
        <v>0.72957198443579763</v>
      </c>
      <c r="Q1557" s="181">
        <v>0.77</v>
      </c>
      <c r="R1557" s="180">
        <v>0.63</v>
      </c>
      <c r="S1557" s="182">
        <v>0.73</v>
      </c>
      <c r="T1557" s="181">
        <v>0.75084175084175087</v>
      </c>
      <c r="U1557" s="180">
        <v>0.62576687116564422</v>
      </c>
      <c r="V1557" s="182">
        <v>0.70652173913043481</v>
      </c>
      <c r="W1557" s="181">
        <v>0.77712609970674484</v>
      </c>
      <c r="X1557" s="180">
        <v>0.61111111111111116</v>
      </c>
      <c r="Y1557" s="182">
        <v>0.72783505154639172</v>
      </c>
      <c r="Z1557" s="181">
        <v>0.78086419753086422</v>
      </c>
      <c r="AA1557" s="180">
        <v>0.54205607476635509</v>
      </c>
      <c r="AB1557" s="182">
        <v>0.72157772621809746</v>
      </c>
    </row>
    <row r="1558" spans="1:36" s="41" customFormat="1" ht="14.25" customHeight="1" x14ac:dyDescent="0.2">
      <c r="A1558" s="95" t="s">
        <v>89</v>
      </c>
      <c r="B1558" s="31">
        <f>COUNTIFS(DATA!$AZ$3:$AZ$7183,2,DATA!$D$3:$D$7183,260)</f>
        <v>16</v>
      </c>
      <c r="C1558" s="35">
        <f t="shared" ref="C1558:C1561" si="148">+B1558/$B$1562</f>
        <v>6.9868995633187769E-2</v>
      </c>
      <c r="D1558" s="42">
        <f>COUNTIFS(DATA!$AZ$3:$AZ$7183,2,DATA!$D$3:$D$7183,280)</f>
        <v>19</v>
      </c>
      <c r="E1558" s="35">
        <f t="shared" ref="E1558:E1561" si="149">+D1558/$D$1562</f>
        <v>0.19587628865979381</v>
      </c>
      <c r="F1558" s="42">
        <f t="shared" ref="F1558:F1560" si="150">+D1558+B1558</f>
        <v>35</v>
      </c>
      <c r="G1558" s="35">
        <f t="shared" ref="G1558:G1561" si="151">+F1558/$F$1562</f>
        <v>0.10736196319018405</v>
      </c>
      <c r="H1558" s="181">
        <v>0.15458937198067632</v>
      </c>
      <c r="I1558" s="180">
        <v>0.17391304347826086</v>
      </c>
      <c r="J1558" s="182">
        <v>0.16053511705685619</v>
      </c>
      <c r="K1558" s="181">
        <v>0.10843373493975904</v>
      </c>
      <c r="L1558" s="180">
        <v>0.11678832116788321</v>
      </c>
      <c r="M1558" s="182">
        <v>0.11139896373056994</v>
      </c>
      <c r="N1558" s="181">
        <v>0.10169491525423729</v>
      </c>
      <c r="O1558" s="180">
        <v>0.21249999999999999</v>
      </c>
      <c r="P1558" s="182">
        <v>0.13618677042801555</v>
      </c>
      <c r="Q1558" s="181">
        <v>0.13</v>
      </c>
      <c r="R1558" s="180">
        <v>0.17</v>
      </c>
      <c r="S1558" s="182">
        <v>0.14000000000000001</v>
      </c>
      <c r="T1558" s="181">
        <v>0.16498316498316498</v>
      </c>
      <c r="U1558" s="180">
        <v>0.20245398773006135</v>
      </c>
      <c r="V1558" s="182">
        <v>0.17826086956521739</v>
      </c>
      <c r="W1558" s="181">
        <v>0.12316715542521994</v>
      </c>
      <c r="X1558" s="180">
        <v>0.15972222222222221</v>
      </c>
      <c r="Y1558" s="182">
        <v>0.13402061855670103</v>
      </c>
      <c r="Z1558" s="181">
        <v>0.14814814814814814</v>
      </c>
      <c r="AA1558" s="180">
        <v>0.23364485981308411</v>
      </c>
      <c r="AB1558" s="182">
        <v>0.16937354988399073</v>
      </c>
    </row>
    <row r="1559" spans="1:36" s="41" customFormat="1" x14ac:dyDescent="0.2">
      <c r="A1559" s="95" t="s">
        <v>90</v>
      </c>
      <c r="B1559" s="31">
        <f>COUNTIFS(DATA!$AZ$3:$AZ$7183,"3",DATA!$D$3:$D$7183,260)</f>
        <v>2</v>
      </c>
      <c r="C1559" s="35">
        <f t="shared" si="148"/>
        <v>8.7336244541484712E-3</v>
      </c>
      <c r="D1559" s="42">
        <f>COUNTIFS(DATA!$AZ$3:$AZ$7183,"3",DATA!$D$3:$D$7183,280)</f>
        <v>3</v>
      </c>
      <c r="E1559" s="35">
        <f t="shared" si="149"/>
        <v>3.0927835051546393E-2</v>
      </c>
      <c r="F1559" s="42">
        <f t="shared" si="150"/>
        <v>5</v>
      </c>
      <c r="G1559" s="35">
        <f t="shared" si="151"/>
        <v>1.5337423312883436E-2</v>
      </c>
      <c r="H1559" s="181">
        <v>1.4492753623188406E-2</v>
      </c>
      <c r="I1559" s="180">
        <v>4.3478260869565216E-2</v>
      </c>
      <c r="J1559" s="182">
        <v>2.3411371237458192E-2</v>
      </c>
      <c r="K1559" s="181">
        <v>2.4096385542168676E-2</v>
      </c>
      <c r="L1559" s="180">
        <v>4.3795620437956206E-2</v>
      </c>
      <c r="M1559" s="182">
        <v>3.1088082901554404E-2</v>
      </c>
      <c r="N1559" s="181">
        <v>1.977401129943503E-2</v>
      </c>
      <c r="O1559" s="180">
        <v>0.05</v>
      </c>
      <c r="P1559" s="182">
        <v>2.9182879377431907E-2</v>
      </c>
      <c r="Q1559" s="181">
        <v>0.03</v>
      </c>
      <c r="R1559" s="180">
        <v>0.04</v>
      </c>
      <c r="S1559" s="182">
        <v>0.03</v>
      </c>
      <c r="T1559" s="181">
        <v>2.6936026936026935E-2</v>
      </c>
      <c r="U1559" s="180">
        <v>3.6809815950920248E-2</v>
      </c>
      <c r="V1559" s="182">
        <v>3.0434782608695653E-2</v>
      </c>
      <c r="W1559" s="181">
        <v>2.3460410557184751E-2</v>
      </c>
      <c r="X1559" s="180">
        <v>6.9444444444444448E-2</v>
      </c>
      <c r="Y1559" s="182">
        <v>3.711340206185567E-2</v>
      </c>
      <c r="Z1559" s="181">
        <v>1.2345679012345678E-2</v>
      </c>
      <c r="AA1559" s="180">
        <v>7.476635514018691E-2</v>
      </c>
      <c r="AB1559" s="182">
        <v>2.7842227378190254E-2</v>
      </c>
      <c r="AC1559" s="154"/>
      <c r="AD1559" s="154"/>
      <c r="AE1559" s="154"/>
      <c r="AF1559" s="162"/>
      <c r="AG1559" s="154"/>
      <c r="AH1559" s="154"/>
      <c r="AI1559" s="154"/>
      <c r="AJ1559" s="154"/>
    </row>
    <row r="1560" spans="1:36" s="41" customFormat="1" ht="27.75" customHeight="1" x14ac:dyDescent="0.2">
      <c r="A1560" s="96" t="s">
        <v>91</v>
      </c>
      <c r="B1560" s="31">
        <f>COUNTIFS(DATA!$AZ$3:$AZ$7183,"4",DATA!$D$3:$D$7183,260)</f>
        <v>5</v>
      </c>
      <c r="C1560" s="35">
        <f t="shared" si="148"/>
        <v>2.1834061135371178E-2</v>
      </c>
      <c r="D1560" s="42">
        <f>COUNTIFS(DATA!$AZ$3:$AZ$7183,"4",DATA!$D$3:$D$7183,280)</f>
        <v>4</v>
      </c>
      <c r="E1560" s="35">
        <f t="shared" si="149"/>
        <v>4.1237113402061855E-2</v>
      </c>
      <c r="F1560" s="42">
        <f t="shared" si="150"/>
        <v>9</v>
      </c>
      <c r="G1560" s="35">
        <f t="shared" si="151"/>
        <v>2.7607361963190184E-2</v>
      </c>
      <c r="H1560" s="181">
        <v>1.4492753623188406E-2</v>
      </c>
      <c r="I1560" s="180">
        <v>6.5217391304347824E-2</v>
      </c>
      <c r="J1560" s="182">
        <v>3.0100334448160536E-2</v>
      </c>
      <c r="K1560" s="181">
        <v>2.0080321285140562E-2</v>
      </c>
      <c r="L1560" s="180">
        <v>0.10218978102189781</v>
      </c>
      <c r="M1560" s="182">
        <v>4.9222797927461141E-2</v>
      </c>
      <c r="N1560" s="181">
        <v>5.6497175141242938E-3</v>
      </c>
      <c r="O1560" s="180">
        <v>0.10625</v>
      </c>
      <c r="P1560" s="182">
        <v>3.6964980544747082E-2</v>
      </c>
      <c r="Q1560" s="181">
        <v>0.02</v>
      </c>
      <c r="R1560" s="180">
        <v>7.0000000000000007E-2</v>
      </c>
      <c r="S1560" s="182">
        <v>0.04</v>
      </c>
      <c r="T1560" s="181">
        <v>2.3569023569023569E-2</v>
      </c>
      <c r="U1560" s="180">
        <v>6.1349693251533742E-2</v>
      </c>
      <c r="V1560" s="182">
        <v>3.6956521739130437E-2</v>
      </c>
      <c r="W1560" s="181">
        <v>1.7595307917888565E-2</v>
      </c>
      <c r="X1560" s="180">
        <v>8.3333333333333329E-2</v>
      </c>
      <c r="Y1560" s="182">
        <v>3.711340206185567E-2</v>
      </c>
      <c r="Z1560" s="181">
        <v>2.1604938271604937E-2</v>
      </c>
      <c r="AA1560" s="180">
        <v>8.4112149532710276E-2</v>
      </c>
      <c r="AB1560" s="182">
        <v>3.7122969837587005E-2</v>
      </c>
    </row>
    <row r="1561" spans="1:36" s="41" customFormat="1" ht="28.5" customHeight="1" thickBot="1" x14ac:dyDescent="0.25">
      <c r="A1561" s="97" t="s">
        <v>39</v>
      </c>
      <c r="B1561" s="31">
        <f>COUNTIFS(DATA!$AZ$3:$AZ$7183,"5",DATA!$D$3:$D$7183,260)</f>
        <v>18</v>
      </c>
      <c r="C1561" s="35">
        <f t="shared" si="148"/>
        <v>7.8602620087336247E-2</v>
      </c>
      <c r="D1561" s="42">
        <f>COUNTIFS(DATA!$AZ$3:$AZ$7183,"5",DATA!$D$3:$D$7183,280)</f>
        <v>7</v>
      </c>
      <c r="E1561" s="35">
        <f t="shared" si="149"/>
        <v>7.2164948453608241E-2</v>
      </c>
      <c r="F1561" s="42">
        <f t="shared" ref="F1561" si="152">+D1561+B1561</f>
        <v>25</v>
      </c>
      <c r="G1561" s="35">
        <f t="shared" si="151"/>
        <v>7.6687116564417179E-2</v>
      </c>
      <c r="H1561" s="181">
        <v>4.8309178743961352E-2</v>
      </c>
      <c r="I1561" s="180">
        <v>0.11956521739130435</v>
      </c>
      <c r="J1561" s="182">
        <v>7.0234113712374577E-2</v>
      </c>
      <c r="K1561" s="181">
        <v>5.2208835341365459E-2</v>
      </c>
      <c r="L1561" s="180">
        <v>5.8394160583941604E-2</v>
      </c>
      <c r="M1561" s="182">
        <v>5.4404145077720206E-2</v>
      </c>
      <c r="N1561" s="181">
        <v>7.0621468926553674E-2</v>
      </c>
      <c r="O1561" s="180">
        <v>6.25E-2</v>
      </c>
      <c r="P1561" s="182">
        <v>6.8093385214007776E-2</v>
      </c>
      <c r="Q1561" s="181">
        <v>0.04</v>
      </c>
      <c r="R1561" s="180">
        <v>0.09</v>
      </c>
      <c r="S1561" s="182">
        <v>0.06</v>
      </c>
      <c r="T1561" s="181">
        <v>3.3670033670033669E-2</v>
      </c>
      <c r="U1561" s="180">
        <v>7.3619631901840496E-2</v>
      </c>
      <c r="V1561" s="182">
        <v>4.7826086956521741E-2</v>
      </c>
      <c r="W1561" s="181">
        <v>5.865102639296188E-2</v>
      </c>
      <c r="X1561" s="180">
        <v>7.6388888888888895E-2</v>
      </c>
      <c r="Y1561" s="182">
        <v>6.3917525773195871E-2</v>
      </c>
      <c r="Z1561" s="181">
        <v>3.7037037037037035E-2</v>
      </c>
      <c r="AA1561" s="180">
        <v>6.5420560747663545E-2</v>
      </c>
      <c r="AB1561" s="182">
        <v>4.4083526682134569E-2</v>
      </c>
    </row>
    <row r="1562" spans="1:36" s="41" customFormat="1" ht="15.75" thickBot="1" x14ac:dyDescent="0.3">
      <c r="A1562" s="111" t="s">
        <v>16</v>
      </c>
      <c r="B1562" s="101">
        <f>SUM(B1557:B1561)</f>
        <v>229</v>
      </c>
      <c r="C1562" s="114">
        <f>+B1562/$B$1562</f>
        <v>1</v>
      </c>
      <c r="D1562" s="101">
        <f>SUM(D1557:D1561)</f>
        <v>97</v>
      </c>
      <c r="E1562" s="114">
        <f>+D1562/$D$1562</f>
        <v>1</v>
      </c>
      <c r="F1562" s="101">
        <f>SUM(F1557:F1561)</f>
        <v>326</v>
      </c>
      <c r="G1562" s="114">
        <f>+F1562/$F$1562</f>
        <v>1</v>
      </c>
      <c r="H1562" s="183">
        <v>1</v>
      </c>
      <c r="I1562" s="184">
        <v>1</v>
      </c>
      <c r="J1562" s="185">
        <v>1</v>
      </c>
      <c r="K1562" s="183">
        <v>1</v>
      </c>
      <c r="L1562" s="184">
        <v>1</v>
      </c>
      <c r="M1562" s="185"/>
      <c r="N1562" s="183">
        <v>1</v>
      </c>
      <c r="O1562" s="184">
        <v>1</v>
      </c>
      <c r="P1562" s="185">
        <v>1</v>
      </c>
      <c r="Q1562" s="183">
        <v>1</v>
      </c>
      <c r="R1562" s="184">
        <v>1</v>
      </c>
      <c r="S1562" s="185">
        <v>1</v>
      </c>
      <c r="T1562" s="183">
        <v>1</v>
      </c>
      <c r="U1562" s="184">
        <v>1</v>
      </c>
      <c r="V1562" s="185">
        <v>1</v>
      </c>
      <c r="W1562" s="183">
        <v>1</v>
      </c>
      <c r="X1562" s="184">
        <v>1</v>
      </c>
      <c r="Y1562" s="185">
        <v>1</v>
      </c>
      <c r="Z1562" s="183">
        <v>1</v>
      </c>
      <c r="AA1562" s="184">
        <v>1</v>
      </c>
      <c r="AB1562" s="185">
        <v>1</v>
      </c>
      <c r="AF1562" s="162"/>
    </row>
    <row r="1563" spans="1:36" s="41" customFormat="1" x14ac:dyDescent="0.2">
      <c r="N1563" s="162"/>
    </row>
    <row r="1564" spans="1:36" s="41" customFormat="1" ht="27.75" customHeight="1" x14ac:dyDescent="0.2">
      <c r="K1564" s="212" t="s">
        <v>7267</v>
      </c>
      <c r="L1564" s="213"/>
      <c r="M1564" s="213"/>
      <c r="N1564" s="213"/>
      <c r="O1564" s="213"/>
      <c r="P1564" s="213"/>
      <c r="Q1564" s="213"/>
      <c r="R1564" s="213"/>
    </row>
    <row r="1565" spans="1:36" s="41" customFormat="1" x14ac:dyDescent="0.2">
      <c r="K1565" s="221" t="s">
        <v>7218</v>
      </c>
      <c r="L1565" s="219"/>
      <c r="M1565" s="219"/>
      <c r="N1565" s="219"/>
      <c r="O1565" s="219"/>
      <c r="P1565" s="219"/>
      <c r="Q1565" s="219"/>
      <c r="R1565" s="219"/>
    </row>
    <row r="1566" spans="1:36" s="41" customFormat="1" x14ac:dyDescent="0.2">
      <c r="K1566" s="221" t="s">
        <v>7219</v>
      </c>
      <c r="L1566" s="219"/>
      <c r="M1566" s="219"/>
      <c r="N1566" s="219"/>
      <c r="O1566" s="219"/>
      <c r="P1566" s="219"/>
      <c r="Q1566" s="219"/>
      <c r="R1566" s="219"/>
    </row>
    <row r="1567" spans="1:36" s="41" customFormat="1" x14ac:dyDescent="0.2">
      <c r="K1567" s="214" t="s">
        <v>7220</v>
      </c>
      <c r="L1567" s="215"/>
      <c r="M1567" s="215"/>
      <c r="N1567" s="215"/>
      <c r="O1567" s="215"/>
      <c r="P1567" s="215"/>
      <c r="Q1567" s="215"/>
      <c r="R1567" s="215"/>
    </row>
    <row r="1568" spans="1:36" s="41" customFormat="1" ht="14.25" customHeight="1" x14ac:dyDescent="0.2">
      <c r="K1568" s="215" t="s">
        <v>7221</v>
      </c>
      <c r="L1568" s="215"/>
      <c r="M1568" s="215"/>
      <c r="N1568" s="215"/>
      <c r="O1568" s="215"/>
      <c r="P1568" s="215"/>
      <c r="Q1568" s="215"/>
      <c r="R1568" s="215"/>
    </row>
    <row r="1569" spans="11:18" s="41" customFormat="1" x14ac:dyDescent="0.2">
      <c r="K1569" s="215"/>
      <c r="L1569" s="215"/>
      <c r="M1569" s="215"/>
      <c r="N1569" s="215"/>
      <c r="O1569" s="215"/>
      <c r="P1569" s="215"/>
      <c r="Q1569" s="215"/>
      <c r="R1569" s="215"/>
    </row>
    <row r="1570" spans="11:18" s="41" customFormat="1" x14ac:dyDescent="0.2">
      <c r="N1570" s="162"/>
    </row>
    <row r="1571" spans="11:18" s="41" customFormat="1" x14ac:dyDescent="0.2"/>
    <row r="1572" spans="11:18" s="41" customFormat="1" x14ac:dyDescent="0.2">
      <c r="N1572" s="162"/>
    </row>
    <row r="1573" spans="11:18" s="41" customFormat="1" x14ac:dyDescent="0.2">
      <c r="N1573" s="162"/>
    </row>
    <row r="1574" spans="11:18" s="41" customFormat="1" x14ac:dyDescent="0.2">
      <c r="N1574" s="162"/>
    </row>
    <row r="1575" spans="11:18" s="41" customFormat="1" x14ac:dyDescent="0.2">
      <c r="N1575" s="162"/>
    </row>
    <row r="1576" spans="11:18" s="41" customFormat="1" x14ac:dyDescent="0.2">
      <c r="N1576" s="162"/>
    </row>
    <row r="1577" spans="11:18" s="41" customFormat="1" x14ac:dyDescent="0.2">
      <c r="N1577" s="162"/>
    </row>
    <row r="1578" spans="11:18" s="41" customFormat="1" x14ac:dyDescent="0.2">
      <c r="N1578" s="162"/>
    </row>
    <row r="1579" spans="11:18" s="41" customFormat="1" x14ac:dyDescent="0.2">
      <c r="N1579" s="162"/>
    </row>
    <row r="1580" spans="11:18" s="41" customFormat="1" x14ac:dyDescent="0.2">
      <c r="N1580" s="162"/>
    </row>
    <row r="1581" spans="11:18" s="41" customFormat="1" x14ac:dyDescent="0.2">
      <c r="N1581" s="162"/>
    </row>
    <row r="1582" spans="11:18" s="41" customFormat="1" x14ac:dyDescent="0.2">
      <c r="N1582" s="162"/>
    </row>
    <row r="1583" spans="11:18" s="41" customFormat="1" x14ac:dyDescent="0.2">
      <c r="N1583" s="162"/>
    </row>
    <row r="1584" spans="11:18" s="41" customFormat="1" x14ac:dyDescent="0.2">
      <c r="N1584" s="162"/>
    </row>
    <row r="1585" spans="1:32" s="41" customFormat="1" x14ac:dyDescent="0.2">
      <c r="N1585" s="162"/>
    </row>
    <row r="1586" spans="1:32" s="41" customFormat="1" x14ac:dyDescent="0.2">
      <c r="N1586" s="162"/>
    </row>
    <row r="1587" spans="1:32" s="41" customFormat="1" x14ac:dyDescent="0.2">
      <c r="N1587" s="162"/>
    </row>
    <row r="1588" spans="1:32" s="41" customFormat="1" x14ac:dyDescent="0.2">
      <c r="N1588" s="162"/>
    </row>
    <row r="1589" spans="1:32" s="41" customFormat="1" ht="15" thickBot="1" x14ac:dyDescent="0.25">
      <c r="N1589" s="162"/>
    </row>
    <row r="1590" spans="1:32" s="41" customFormat="1" ht="42" customHeight="1" thickBot="1" x14ac:dyDescent="0.25">
      <c r="A1590" s="240" t="s">
        <v>123</v>
      </c>
      <c r="B1590" s="241"/>
      <c r="C1590" s="241"/>
      <c r="D1590" s="241"/>
      <c r="E1590" s="241"/>
      <c r="F1590" s="241"/>
      <c r="G1590" s="242"/>
      <c r="H1590" s="74"/>
      <c r="I1590" s="74"/>
      <c r="J1590" s="74"/>
      <c r="K1590" s="74"/>
      <c r="N1590" s="162"/>
    </row>
    <row r="1591" spans="1:32" s="41" customFormat="1" ht="15.75" thickBot="1" x14ac:dyDescent="0.3">
      <c r="A1591" s="28"/>
      <c r="B1591" s="234" t="str">
        <f>+B73</f>
        <v>Successful</v>
      </c>
      <c r="C1591" s="235"/>
      <c r="D1591" s="236" t="str">
        <f>+D73</f>
        <v>Unsuccessful</v>
      </c>
      <c r="E1591" s="237"/>
      <c r="F1591" s="238" t="s">
        <v>16</v>
      </c>
      <c r="G1591" s="239"/>
      <c r="H1591" s="206">
        <f>+H73</f>
        <v>2021</v>
      </c>
      <c r="I1591" s="207"/>
      <c r="J1591" s="208"/>
      <c r="K1591" s="206">
        <f>+K73</f>
        <v>2020</v>
      </c>
      <c r="L1591" s="207"/>
      <c r="M1591" s="208"/>
      <c r="N1591" s="206">
        <f>+N73</f>
        <v>2019</v>
      </c>
      <c r="O1591" s="207"/>
      <c r="P1591" s="208"/>
      <c r="Q1591" s="206">
        <f>+Q73</f>
        <v>2018</v>
      </c>
      <c r="R1591" s="207"/>
      <c r="S1591" s="208"/>
      <c r="T1591" s="206">
        <f>+T73</f>
        <v>2017</v>
      </c>
      <c r="U1591" s="207"/>
      <c r="V1591" s="208"/>
      <c r="W1591" s="209">
        <f>+W73</f>
        <v>2016</v>
      </c>
      <c r="X1591" s="210"/>
      <c r="Y1591" s="211"/>
      <c r="Z1591" s="209">
        <f>+Z73</f>
        <v>2015</v>
      </c>
      <c r="AA1591" s="210"/>
      <c r="AB1591" s="211"/>
      <c r="AC1591" s="165"/>
      <c r="AF1591" s="162"/>
    </row>
    <row r="1592" spans="1:32" s="41" customFormat="1" ht="29.25" thickBot="1" x14ac:dyDescent="0.25">
      <c r="A1592" s="28"/>
      <c r="B1592" s="29" t="s">
        <v>37</v>
      </c>
      <c r="C1592" s="30" t="s">
        <v>38</v>
      </c>
      <c r="D1592" s="29" t="s">
        <v>37</v>
      </c>
      <c r="E1592" s="30" t="s">
        <v>38</v>
      </c>
      <c r="F1592" s="29" t="s">
        <v>37</v>
      </c>
      <c r="G1592" s="30" t="s">
        <v>38</v>
      </c>
      <c r="H1592" s="186" t="s">
        <v>132</v>
      </c>
      <c r="I1592" s="187" t="s">
        <v>133</v>
      </c>
      <c r="J1592" s="44" t="s">
        <v>16</v>
      </c>
      <c r="K1592" s="186" t="s">
        <v>132</v>
      </c>
      <c r="L1592" s="187" t="s">
        <v>133</v>
      </c>
      <c r="M1592" s="44" t="s">
        <v>16</v>
      </c>
      <c r="N1592" s="186" t="s">
        <v>132</v>
      </c>
      <c r="O1592" s="187" t="s">
        <v>133</v>
      </c>
      <c r="P1592" s="44" t="s">
        <v>16</v>
      </c>
      <c r="Q1592" s="186" t="s">
        <v>132</v>
      </c>
      <c r="R1592" s="187" t="s">
        <v>133</v>
      </c>
      <c r="S1592" s="44" t="s">
        <v>16</v>
      </c>
      <c r="T1592" s="186" t="s">
        <v>132</v>
      </c>
      <c r="U1592" s="187" t="s">
        <v>133</v>
      </c>
      <c r="V1592" s="44" t="s">
        <v>16</v>
      </c>
      <c r="W1592" s="186" t="s">
        <v>132</v>
      </c>
      <c r="X1592" s="187" t="s">
        <v>133</v>
      </c>
      <c r="Y1592" s="44" t="s">
        <v>16</v>
      </c>
      <c r="Z1592" s="186" t="s">
        <v>132</v>
      </c>
      <c r="AA1592" s="187" t="s">
        <v>133</v>
      </c>
      <c r="AB1592" s="44" t="s">
        <v>16</v>
      </c>
    </row>
    <row r="1593" spans="1:32" s="41" customFormat="1" x14ac:dyDescent="0.2">
      <c r="A1593" s="98" t="s">
        <v>134</v>
      </c>
      <c r="B1593" s="31">
        <f>COUNTIFS(DATA!$BA$3:$BA$7183,1,DATA!$D$3:$D$7183,260)</f>
        <v>186</v>
      </c>
      <c r="C1593" s="35">
        <f>IF(B1597=0,0,+B1593/B1597)</f>
        <v>0.81222707423580787</v>
      </c>
      <c r="D1593" s="31">
        <f>COUNTIFS(DATA!$BA$3:$BA$7183,1,DATA!$D$3:$D$7183,280)</f>
        <v>72</v>
      </c>
      <c r="E1593" s="35">
        <f>+D1593/D1597</f>
        <v>0.74226804123711343</v>
      </c>
      <c r="F1593" s="31">
        <f>+D1593+B1593</f>
        <v>258</v>
      </c>
      <c r="G1593" s="35">
        <f>+F1593/F1597</f>
        <v>0.79141104294478526</v>
      </c>
      <c r="H1593" s="181">
        <v>0.82608695652173914</v>
      </c>
      <c r="I1593" s="180">
        <v>0.65217391304347827</v>
      </c>
      <c r="J1593" s="182">
        <v>0.77257525083612044</v>
      </c>
      <c r="K1593" s="181">
        <v>0.81927710843373491</v>
      </c>
      <c r="L1593" s="180">
        <v>0.75182481751824815</v>
      </c>
      <c r="M1593" s="182">
        <v>0.79533678756476689</v>
      </c>
      <c r="N1593" s="181">
        <v>0.8192090395480226</v>
      </c>
      <c r="O1593" s="180">
        <v>0.71875</v>
      </c>
      <c r="P1593" s="182">
        <v>0.78793774319066145</v>
      </c>
      <c r="Q1593" s="181">
        <v>0.69</v>
      </c>
      <c r="R1593" s="180">
        <v>0.64</v>
      </c>
      <c r="S1593" s="182">
        <v>0.67</v>
      </c>
      <c r="T1593" s="181">
        <v>0.82094594594594594</v>
      </c>
      <c r="U1593" s="180">
        <v>0.66871165644171782</v>
      </c>
      <c r="V1593" s="182">
        <v>0.76688453159041392</v>
      </c>
      <c r="W1593" s="181">
        <v>0.80351906158357767</v>
      </c>
      <c r="X1593" s="180">
        <v>0.72916666666666663</v>
      </c>
      <c r="Y1593" s="182">
        <v>0.78144329896907216</v>
      </c>
      <c r="Z1593" s="181">
        <v>0.36363636363636365</v>
      </c>
      <c r="AA1593" s="180">
        <v>0.29411764705882354</v>
      </c>
      <c r="AB1593" s="182">
        <v>0.32142857142857145</v>
      </c>
    </row>
    <row r="1594" spans="1:32" s="41" customFormat="1" ht="14.25" customHeight="1" x14ac:dyDescent="0.2">
      <c r="A1594" s="99" t="s">
        <v>135</v>
      </c>
      <c r="B1594" s="31">
        <f>COUNTIFS(DATA!$BA$3:$BA$7183,2,DATA!$D$3:$D$7183,260)</f>
        <v>8</v>
      </c>
      <c r="C1594" s="35">
        <f>IF(B1597=0,0,+B1594/B1597)</f>
        <v>3.4934497816593885E-2</v>
      </c>
      <c r="D1594" s="42">
        <f>COUNTIFS(DATA!$BA$3:$BA$7183,2,DATA!$D$3:$D$7183,280)</f>
        <v>6</v>
      </c>
      <c r="E1594" s="35">
        <f>+D1594/D1597</f>
        <v>6.1855670103092786E-2</v>
      </c>
      <c r="F1594" s="42">
        <f t="shared" ref="F1594:F1596" si="153">+D1594+B1594</f>
        <v>14</v>
      </c>
      <c r="G1594" s="35">
        <f>+F1594/F1597</f>
        <v>4.2944785276073622E-2</v>
      </c>
      <c r="H1594" s="181">
        <v>2.4154589371980676E-2</v>
      </c>
      <c r="I1594" s="180">
        <v>0.11956521739130435</v>
      </c>
      <c r="J1594" s="182">
        <v>5.3511705685618728E-2</v>
      </c>
      <c r="K1594" s="181">
        <v>3.2128514056224897E-2</v>
      </c>
      <c r="L1594" s="180">
        <v>7.2992700729927001E-2</v>
      </c>
      <c r="M1594" s="182">
        <v>4.6632124352331605E-2</v>
      </c>
      <c r="N1594" s="181">
        <v>1.1299435028248588E-2</v>
      </c>
      <c r="O1594" s="180">
        <v>9.375E-2</v>
      </c>
      <c r="P1594" s="182">
        <v>3.6964980544747082E-2</v>
      </c>
      <c r="Q1594" s="181">
        <v>0.05</v>
      </c>
      <c r="R1594" s="180">
        <v>7.0000000000000007E-2</v>
      </c>
      <c r="S1594" s="182">
        <v>0.06</v>
      </c>
      <c r="T1594" s="181">
        <v>4.0540540540540543E-2</v>
      </c>
      <c r="U1594" s="180">
        <v>0.11042944785276074</v>
      </c>
      <c r="V1594" s="182">
        <v>6.535947712418301E-2</v>
      </c>
      <c r="W1594" s="181">
        <v>3.8123167155425221E-2</v>
      </c>
      <c r="X1594" s="180">
        <v>0.10416666666666667</v>
      </c>
      <c r="Y1594" s="182">
        <v>5.7731958762886601E-2</v>
      </c>
      <c r="Z1594" s="181">
        <v>9.0909090909090912E-2</v>
      </c>
      <c r="AA1594" s="180">
        <v>0.47058823529411764</v>
      </c>
      <c r="AB1594" s="182">
        <v>0.32142857142857145</v>
      </c>
    </row>
    <row r="1595" spans="1:32" s="41" customFormat="1" x14ac:dyDescent="0.2">
      <c r="A1595" s="92" t="s">
        <v>94</v>
      </c>
      <c r="B1595" s="31">
        <f>COUNTIFS(DATA!$BA$3:$BA$7183,"3",DATA!$D$3:$D$7183,260)</f>
        <v>9</v>
      </c>
      <c r="C1595" s="35">
        <f>IF(B1597=0,0,+B1595/B1597)</f>
        <v>3.9301310043668124E-2</v>
      </c>
      <c r="D1595" s="42">
        <f>COUNTIFS(DATA!$BA$3:$BA$7183,"3",DATA!$D$3:$D$7183,280)</f>
        <v>7</v>
      </c>
      <c r="E1595" s="35">
        <f>+D1595/D1597</f>
        <v>7.2164948453608241E-2</v>
      </c>
      <c r="F1595" s="42">
        <f t="shared" si="153"/>
        <v>16</v>
      </c>
      <c r="G1595" s="35">
        <f>+F1595/F1597</f>
        <v>4.9079754601226995E-2</v>
      </c>
      <c r="H1595" s="181">
        <v>3.864734299516908E-2</v>
      </c>
      <c r="I1595" s="180">
        <v>6.5217391304347824E-2</v>
      </c>
      <c r="J1595" s="182">
        <v>4.6822742474916385E-2</v>
      </c>
      <c r="K1595" s="181">
        <v>5.2208835341365459E-2</v>
      </c>
      <c r="L1595" s="180">
        <v>8.7591240875912413E-2</v>
      </c>
      <c r="M1595" s="182">
        <v>6.4766839378238336E-2</v>
      </c>
      <c r="N1595" s="181">
        <v>6.2146892655367235E-2</v>
      </c>
      <c r="O1595" s="180">
        <v>6.25E-2</v>
      </c>
      <c r="P1595" s="182">
        <v>6.2256809338521402E-2</v>
      </c>
      <c r="Q1595" s="181">
        <v>0.18</v>
      </c>
      <c r="R1595" s="180">
        <v>0.15</v>
      </c>
      <c r="S1595" s="182">
        <v>0.17</v>
      </c>
      <c r="T1595" s="181">
        <v>5.4054054054054057E-2</v>
      </c>
      <c r="U1595" s="180">
        <v>8.5889570552147243E-2</v>
      </c>
      <c r="V1595" s="182">
        <v>6.535947712418301E-2</v>
      </c>
      <c r="W1595" s="181">
        <v>4.398826979472141E-2</v>
      </c>
      <c r="X1595" s="180">
        <v>5.5555555555555552E-2</v>
      </c>
      <c r="Y1595" s="182">
        <v>4.7422680412371132E-2</v>
      </c>
      <c r="Z1595" s="181">
        <v>0.27272727272727271</v>
      </c>
      <c r="AA1595" s="180">
        <v>0.23529411764705882</v>
      </c>
      <c r="AB1595" s="182">
        <v>0.25</v>
      </c>
    </row>
    <row r="1596" spans="1:32" s="41" customFormat="1" ht="15" thickBot="1" x14ac:dyDescent="0.25">
      <c r="A1596" s="93" t="s">
        <v>39</v>
      </c>
      <c r="B1596" s="31">
        <f>COUNTIFS(DATA!$BA$3:$BA$7183,"4",DATA!$D$3:$D$7183,260)</f>
        <v>26</v>
      </c>
      <c r="C1596" s="35">
        <f>IF(B1597=0,0,+B1596/B1597)</f>
        <v>0.11353711790393013</v>
      </c>
      <c r="D1596" s="42">
        <f>COUNTIFS(DATA!$BA$3:$BA$7183,"4",DATA!$D$3:$D$7183,280)</f>
        <v>12</v>
      </c>
      <c r="E1596" s="35">
        <f>+D1596/D1597</f>
        <v>0.12371134020618557</v>
      </c>
      <c r="F1596" s="42">
        <f t="shared" si="153"/>
        <v>38</v>
      </c>
      <c r="G1596" s="35">
        <f>+F1596/F1597</f>
        <v>0.1165644171779141</v>
      </c>
      <c r="H1596" s="181">
        <v>0.1111111111111111</v>
      </c>
      <c r="I1596" s="180">
        <v>0.16304347826086957</v>
      </c>
      <c r="J1596" s="182">
        <v>0.12709030100334448</v>
      </c>
      <c r="K1596" s="181">
        <v>9.6385542168674704E-2</v>
      </c>
      <c r="L1596" s="180">
        <v>8.7591240875912413E-2</v>
      </c>
      <c r="M1596" s="182">
        <v>9.3264248704663211E-2</v>
      </c>
      <c r="N1596" s="181">
        <v>0.10734463276836158</v>
      </c>
      <c r="O1596" s="180">
        <v>0.125</v>
      </c>
      <c r="P1596" s="182">
        <v>0.11284046692607004</v>
      </c>
      <c r="Q1596" s="181">
        <v>0.08</v>
      </c>
      <c r="R1596" s="180">
        <v>0.14000000000000001</v>
      </c>
      <c r="S1596" s="182">
        <v>0.1</v>
      </c>
      <c r="T1596" s="181">
        <v>8.4459459459459457E-2</v>
      </c>
      <c r="U1596" s="180">
        <v>0.13496932515337423</v>
      </c>
      <c r="V1596" s="182">
        <v>0.10239651416122005</v>
      </c>
      <c r="W1596" s="181">
        <v>0.11436950146627566</v>
      </c>
      <c r="X1596" s="180">
        <v>0.1111111111111111</v>
      </c>
      <c r="Y1596" s="182">
        <v>0.1134020618556701</v>
      </c>
      <c r="Z1596" s="181">
        <v>0.27272727272727271</v>
      </c>
      <c r="AA1596" s="180">
        <v>0</v>
      </c>
      <c r="AB1596" s="182">
        <v>0.10714285714285714</v>
      </c>
    </row>
    <row r="1597" spans="1:32" s="41" customFormat="1" ht="15.75" thickBot="1" x14ac:dyDescent="0.3">
      <c r="A1597" s="111" t="s">
        <v>16</v>
      </c>
      <c r="B1597" s="101">
        <f>SUM(B1593:B1596)</f>
        <v>229</v>
      </c>
      <c r="C1597" s="114">
        <f>IF(B1597=0,0,+B1597/B1597)</f>
        <v>1</v>
      </c>
      <c r="D1597" s="101">
        <f>SUM(D1593:D1596)</f>
        <v>97</v>
      </c>
      <c r="E1597" s="114">
        <f>+D1597/D1597</f>
        <v>1</v>
      </c>
      <c r="F1597" s="101">
        <f>SUM(F1593:F1596)</f>
        <v>326</v>
      </c>
      <c r="G1597" s="114">
        <f>+F1597/F1597</f>
        <v>1</v>
      </c>
      <c r="H1597" s="183">
        <v>1</v>
      </c>
      <c r="I1597" s="184">
        <v>1</v>
      </c>
      <c r="J1597" s="185">
        <v>1</v>
      </c>
      <c r="K1597" s="183">
        <v>1</v>
      </c>
      <c r="L1597" s="184">
        <v>1</v>
      </c>
      <c r="M1597" s="185">
        <v>1</v>
      </c>
      <c r="N1597" s="183">
        <v>1</v>
      </c>
      <c r="O1597" s="184">
        <v>1</v>
      </c>
      <c r="P1597" s="185">
        <v>1</v>
      </c>
      <c r="Q1597" s="183">
        <v>1</v>
      </c>
      <c r="R1597" s="184">
        <v>1</v>
      </c>
      <c r="S1597" s="185">
        <v>1</v>
      </c>
      <c r="T1597" s="183">
        <v>1</v>
      </c>
      <c r="U1597" s="184">
        <v>1</v>
      </c>
      <c r="V1597" s="185">
        <v>1</v>
      </c>
      <c r="W1597" s="183">
        <v>1</v>
      </c>
      <c r="X1597" s="184">
        <v>1</v>
      </c>
      <c r="Y1597" s="185">
        <v>1</v>
      </c>
      <c r="Z1597" s="183">
        <v>1</v>
      </c>
      <c r="AA1597" s="184">
        <v>1</v>
      </c>
      <c r="AB1597" s="185">
        <v>1</v>
      </c>
      <c r="AF1597" s="162"/>
    </row>
    <row r="1598" spans="1:32" s="41" customFormat="1" x14ac:dyDescent="0.2">
      <c r="N1598" s="162"/>
    </row>
    <row r="1599" spans="1:32" s="41" customFormat="1" x14ac:dyDescent="0.2">
      <c r="K1599" s="212" t="s">
        <v>142</v>
      </c>
      <c r="L1599" s="213"/>
      <c r="M1599" s="213"/>
      <c r="N1599" s="213"/>
      <c r="O1599" s="213"/>
      <c r="P1599" s="213"/>
      <c r="Q1599" s="213"/>
      <c r="R1599" s="213"/>
    </row>
    <row r="1600" spans="1:32" s="41" customFormat="1" x14ac:dyDescent="0.2">
      <c r="K1600" s="216" t="s">
        <v>7222</v>
      </c>
      <c r="L1600" s="217"/>
      <c r="M1600" s="217"/>
      <c r="N1600" s="217"/>
      <c r="O1600" s="217"/>
      <c r="P1600" s="217"/>
      <c r="Q1600" s="217"/>
      <c r="R1600" s="217"/>
    </row>
    <row r="1601" spans="11:18" s="41" customFormat="1" x14ac:dyDescent="0.2">
      <c r="K1601" s="216" t="s">
        <v>7223</v>
      </c>
      <c r="L1601" s="217"/>
      <c r="M1601" s="217"/>
      <c r="N1601" s="217"/>
      <c r="O1601" s="217"/>
      <c r="P1601" s="217"/>
      <c r="Q1601" s="217"/>
      <c r="R1601" s="217"/>
    </row>
    <row r="1602" spans="11:18" s="41" customFormat="1" x14ac:dyDescent="0.2">
      <c r="K1602" s="214" t="s">
        <v>7224</v>
      </c>
      <c r="L1602" s="215"/>
      <c r="M1602" s="215"/>
      <c r="N1602" s="215"/>
      <c r="O1602" s="215"/>
      <c r="P1602" s="215"/>
      <c r="Q1602" s="215"/>
      <c r="R1602" s="215"/>
    </row>
    <row r="1603" spans="11:18" s="41" customFormat="1" x14ac:dyDescent="0.2">
      <c r="K1603" s="214" t="s">
        <v>7225</v>
      </c>
      <c r="L1603" s="215"/>
      <c r="M1603" s="215"/>
      <c r="N1603" s="215"/>
      <c r="O1603" s="215"/>
      <c r="P1603" s="215"/>
      <c r="Q1603" s="215"/>
      <c r="R1603" s="215"/>
    </row>
    <row r="1604" spans="11:18" s="41" customFormat="1" x14ac:dyDescent="0.2">
      <c r="N1604" s="162"/>
    </row>
    <row r="1605" spans="11:18" s="41" customFormat="1" x14ac:dyDescent="0.2"/>
    <row r="1606" spans="11:18" s="41" customFormat="1" x14ac:dyDescent="0.2">
      <c r="N1606" s="162"/>
    </row>
    <row r="1607" spans="11:18" s="41" customFormat="1" x14ac:dyDescent="0.2">
      <c r="N1607" s="162"/>
    </row>
    <row r="1608" spans="11:18" s="41" customFormat="1" x14ac:dyDescent="0.2">
      <c r="N1608" s="162"/>
    </row>
    <row r="1609" spans="11:18" s="41" customFormat="1" x14ac:dyDescent="0.2">
      <c r="N1609" s="162"/>
    </row>
    <row r="1610" spans="11:18" s="41" customFormat="1" x14ac:dyDescent="0.2">
      <c r="N1610" s="162"/>
    </row>
    <row r="1611" spans="11:18" s="41" customFormat="1" x14ac:dyDescent="0.2">
      <c r="N1611" s="162"/>
    </row>
    <row r="1612" spans="11:18" s="41" customFormat="1" x14ac:dyDescent="0.2">
      <c r="N1612" s="162"/>
    </row>
    <row r="1613" spans="11:18" s="41" customFormat="1" x14ac:dyDescent="0.2">
      <c r="N1613" s="162"/>
    </row>
    <row r="1614" spans="11:18" s="41" customFormat="1" x14ac:dyDescent="0.2">
      <c r="N1614" s="162"/>
    </row>
    <row r="1615" spans="11:18" s="41" customFormat="1" x14ac:dyDescent="0.2">
      <c r="N1615" s="162"/>
    </row>
    <row r="1616" spans="11:18" s="41" customFormat="1" x14ac:dyDescent="0.2">
      <c r="N1616" s="162"/>
    </row>
    <row r="1617" spans="1:32" s="41" customFormat="1" x14ac:dyDescent="0.2">
      <c r="N1617" s="162"/>
    </row>
    <row r="1618" spans="1:32" s="41" customFormat="1" x14ac:dyDescent="0.2">
      <c r="N1618" s="162"/>
    </row>
    <row r="1619" spans="1:32" s="41" customFormat="1" x14ac:dyDescent="0.2">
      <c r="N1619" s="162"/>
    </row>
    <row r="1620" spans="1:32" s="41" customFormat="1" x14ac:dyDescent="0.2">
      <c r="N1620" s="162"/>
    </row>
    <row r="1621" spans="1:32" s="41" customFormat="1" x14ac:dyDescent="0.2">
      <c r="N1621" s="162"/>
    </row>
    <row r="1622" spans="1:32" s="41" customFormat="1" x14ac:dyDescent="0.2">
      <c r="N1622" s="162"/>
    </row>
    <row r="1623" spans="1:32" s="41" customFormat="1" x14ac:dyDescent="0.2">
      <c r="N1623" s="162"/>
    </row>
    <row r="1624" spans="1:32" s="41" customFormat="1" ht="15" thickBot="1" x14ac:dyDescent="0.25">
      <c r="N1624" s="162"/>
    </row>
    <row r="1625" spans="1:32" s="41" customFormat="1" ht="42" customHeight="1" thickBot="1" x14ac:dyDescent="0.25">
      <c r="A1625" s="240" t="s">
        <v>124</v>
      </c>
      <c r="B1625" s="241"/>
      <c r="C1625" s="241"/>
      <c r="D1625" s="241"/>
      <c r="E1625" s="241"/>
      <c r="F1625" s="241"/>
      <c r="G1625" s="242"/>
      <c r="H1625" s="74"/>
      <c r="I1625" s="74"/>
      <c r="J1625" s="74"/>
      <c r="K1625" s="74"/>
      <c r="N1625" s="162"/>
    </row>
    <row r="1626" spans="1:32" s="41" customFormat="1" ht="15.75" thickBot="1" x14ac:dyDescent="0.3">
      <c r="A1626" s="28"/>
      <c r="B1626" s="234" t="str">
        <f>+B73</f>
        <v>Successful</v>
      </c>
      <c r="C1626" s="235"/>
      <c r="D1626" s="236" t="str">
        <f>+D73</f>
        <v>Unsuccessful</v>
      </c>
      <c r="E1626" s="237"/>
      <c r="F1626" s="238" t="s">
        <v>16</v>
      </c>
      <c r="G1626" s="239"/>
      <c r="H1626" s="206">
        <f>+H73</f>
        <v>2021</v>
      </c>
      <c r="I1626" s="207"/>
      <c r="J1626" s="208"/>
      <c r="K1626" s="206">
        <f>+K73</f>
        <v>2020</v>
      </c>
      <c r="L1626" s="207"/>
      <c r="M1626" s="208"/>
      <c r="N1626" s="206">
        <f>+N73</f>
        <v>2019</v>
      </c>
      <c r="O1626" s="207"/>
      <c r="P1626" s="208"/>
      <c r="Q1626" s="206">
        <f>+Q73</f>
        <v>2018</v>
      </c>
      <c r="R1626" s="207"/>
      <c r="S1626" s="208"/>
      <c r="T1626" s="206">
        <f>+T73</f>
        <v>2017</v>
      </c>
      <c r="U1626" s="207"/>
      <c r="V1626" s="208"/>
      <c r="W1626" s="209">
        <f>+W73</f>
        <v>2016</v>
      </c>
      <c r="X1626" s="210"/>
      <c r="Y1626" s="211"/>
      <c r="Z1626" s="209">
        <f>+Z73</f>
        <v>2015</v>
      </c>
      <c r="AA1626" s="210"/>
      <c r="AB1626" s="211"/>
      <c r="AC1626" s="165"/>
      <c r="AF1626" s="162"/>
    </row>
    <row r="1627" spans="1:32" s="41" customFormat="1" ht="29.25" thickBot="1" x14ac:dyDescent="0.25">
      <c r="A1627" s="28"/>
      <c r="B1627" s="29" t="s">
        <v>37</v>
      </c>
      <c r="C1627" s="30" t="s">
        <v>38</v>
      </c>
      <c r="D1627" s="29" t="s">
        <v>37</v>
      </c>
      <c r="E1627" s="30" t="s">
        <v>38</v>
      </c>
      <c r="F1627" s="29" t="s">
        <v>37</v>
      </c>
      <c r="G1627" s="30" t="s">
        <v>38</v>
      </c>
      <c r="H1627" s="186" t="s">
        <v>132</v>
      </c>
      <c r="I1627" s="187" t="s">
        <v>133</v>
      </c>
      <c r="J1627" s="44" t="s">
        <v>16</v>
      </c>
      <c r="K1627" s="186" t="s">
        <v>132</v>
      </c>
      <c r="L1627" s="187" t="s">
        <v>133</v>
      </c>
      <c r="M1627" s="44" t="s">
        <v>16</v>
      </c>
      <c r="N1627" s="186" t="s">
        <v>132</v>
      </c>
      <c r="O1627" s="187" t="s">
        <v>133</v>
      </c>
      <c r="P1627" s="44" t="s">
        <v>16</v>
      </c>
      <c r="Q1627" s="186" t="s">
        <v>132</v>
      </c>
      <c r="R1627" s="187" t="s">
        <v>133</v>
      </c>
      <c r="S1627" s="44" t="s">
        <v>16</v>
      </c>
      <c r="T1627" s="186" t="s">
        <v>132</v>
      </c>
      <c r="U1627" s="187" t="s">
        <v>133</v>
      </c>
      <c r="V1627" s="44" t="s">
        <v>16</v>
      </c>
      <c r="W1627" s="186" t="s">
        <v>132</v>
      </c>
      <c r="X1627" s="187" t="s">
        <v>133</v>
      </c>
      <c r="Y1627" s="44" t="s">
        <v>16</v>
      </c>
      <c r="Z1627" s="186" t="s">
        <v>132</v>
      </c>
      <c r="AA1627" s="187" t="s">
        <v>133</v>
      </c>
      <c r="AB1627" s="44" t="s">
        <v>16</v>
      </c>
    </row>
    <row r="1628" spans="1:32" s="41" customFormat="1" x14ac:dyDescent="0.2">
      <c r="A1628" s="98" t="s">
        <v>134</v>
      </c>
      <c r="B1628" s="31">
        <f>COUNTIFS(DATA!$BB$3:$BB$7183,1,DATA!$D$3:$D$7183,260)</f>
        <v>187</v>
      </c>
      <c r="C1628" s="35">
        <f>IF(B1632=0,0,+B1628/B1632)</f>
        <v>0.81659388646288211</v>
      </c>
      <c r="D1628" s="31">
        <f>COUNTIFS(DATA!$BB$3:$BB$7183,1,DATA!$D$3:$D$7183,280)</f>
        <v>74</v>
      </c>
      <c r="E1628" s="35">
        <f>+D1628/D1632</f>
        <v>0.76288659793814428</v>
      </c>
      <c r="F1628" s="31">
        <f>+D1628+B1628</f>
        <v>261</v>
      </c>
      <c r="G1628" s="35">
        <f>+F1628/F1632</f>
        <v>0.80061349693251538</v>
      </c>
      <c r="H1628" s="181">
        <v>0.81159420289855078</v>
      </c>
      <c r="I1628" s="180">
        <v>0.65217391304347827</v>
      </c>
      <c r="J1628" s="182">
        <v>0.76254180602006694</v>
      </c>
      <c r="K1628" s="181">
        <v>0.81927710843373491</v>
      </c>
      <c r="L1628" s="180">
        <v>0.75912408759124084</v>
      </c>
      <c r="M1628" s="182">
        <v>0.79792746113989632</v>
      </c>
      <c r="N1628" s="181">
        <v>0.80225988700564976</v>
      </c>
      <c r="O1628" s="180">
        <v>0.75</v>
      </c>
      <c r="P1628" s="182">
        <v>0.78599221789883267</v>
      </c>
      <c r="Q1628" s="181">
        <v>0.71</v>
      </c>
      <c r="R1628" s="180">
        <v>0.64</v>
      </c>
      <c r="S1628" s="182">
        <v>0.69</v>
      </c>
      <c r="T1628" s="181">
        <v>0.79391891891891897</v>
      </c>
      <c r="U1628" s="180">
        <v>0.68098159509202449</v>
      </c>
      <c r="V1628" s="182">
        <v>0.75381263616557737</v>
      </c>
      <c r="W1628" s="181">
        <v>0.80938416422287385</v>
      </c>
      <c r="X1628" s="180">
        <v>0.74305555555555558</v>
      </c>
      <c r="Y1628" s="182">
        <v>0.78969072164948451</v>
      </c>
      <c r="Z1628" s="181">
        <v>0.27272727272727271</v>
      </c>
      <c r="AA1628" s="180">
        <v>0.23529411764705882</v>
      </c>
      <c r="AB1628" s="182">
        <v>0.25</v>
      </c>
    </row>
    <row r="1629" spans="1:32" s="41" customFormat="1" x14ac:dyDescent="0.2">
      <c r="A1629" s="99" t="s">
        <v>135</v>
      </c>
      <c r="B1629" s="31">
        <f>COUNTIFS(DATA!$BB$3:$BB$7183,2,DATA!$D$3:$D$7183,260)</f>
        <v>7</v>
      </c>
      <c r="C1629" s="35">
        <f>IF(B1632=0,0,+B1629/B1632)</f>
        <v>3.0567685589519649E-2</v>
      </c>
      <c r="D1629" s="42">
        <f>COUNTIFS(DATA!$BB$3:$BB$7183,2,DATA!$D$3:$D$7183,280)</f>
        <v>6</v>
      </c>
      <c r="E1629" s="35">
        <f>+D1629/D1632</f>
        <v>6.1855670103092786E-2</v>
      </c>
      <c r="F1629" s="42">
        <f t="shared" ref="F1629:F1631" si="154">+D1629+B1629</f>
        <v>13</v>
      </c>
      <c r="G1629" s="35">
        <f>+F1629/F1632</f>
        <v>3.9877300613496931E-2</v>
      </c>
      <c r="H1629" s="181">
        <v>4.3478260869565216E-2</v>
      </c>
      <c r="I1629" s="180">
        <v>0.13043478260869565</v>
      </c>
      <c r="J1629" s="182">
        <v>7.0234113712374577E-2</v>
      </c>
      <c r="K1629" s="181">
        <v>3.2128514056224897E-2</v>
      </c>
      <c r="L1629" s="180">
        <v>7.2992700729927001E-2</v>
      </c>
      <c r="M1629" s="182">
        <v>4.6632124352331605E-2</v>
      </c>
      <c r="N1629" s="181">
        <v>2.5423728813559324E-2</v>
      </c>
      <c r="O1629" s="180">
        <v>0.1</v>
      </c>
      <c r="P1629" s="182">
        <v>4.8638132295719845E-2</v>
      </c>
      <c r="Q1629" s="181">
        <v>0.05</v>
      </c>
      <c r="R1629" s="180">
        <v>0.09</v>
      </c>
      <c r="S1629" s="182">
        <v>0.06</v>
      </c>
      <c r="T1629" s="181">
        <v>5.7432432432432436E-2</v>
      </c>
      <c r="U1629" s="180">
        <v>0.11042944785276074</v>
      </c>
      <c r="V1629" s="182">
        <v>7.6252723311546838E-2</v>
      </c>
      <c r="W1629" s="181">
        <v>4.6920821114369501E-2</v>
      </c>
      <c r="X1629" s="180">
        <v>9.7222222222222224E-2</v>
      </c>
      <c r="Y1629" s="182">
        <v>6.1855670103092786E-2</v>
      </c>
      <c r="Z1629" s="181">
        <v>0.27272727272727271</v>
      </c>
      <c r="AA1629" s="180">
        <v>0.6470588235294118</v>
      </c>
      <c r="AB1629" s="182">
        <v>0.5</v>
      </c>
    </row>
    <row r="1630" spans="1:32" s="41" customFormat="1" x14ac:dyDescent="0.2">
      <c r="A1630" s="92" t="s">
        <v>94</v>
      </c>
      <c r="B1630" s="31">
        <f>COUNTIFS(DATA!$BB$3:$BB$7183,"3",DATA!$D$3:$D$7183,260)</f>
        <v>10</v>
      </c>
      <c r="C1630" s="35">
        <f>IF(B1632=0,0,+B1630/B1632)</f>
        <v>4.3668122270742356E-2</v>
      </c>
      <c r="D1630" s="42">
        <f>COUNTIFS(DATA!$BB$3:$BB$7183,"3",DATA!$D$3:$D$7183,280)</f>
        <v>6</v>
      </c>
      <c r="E1630" s="35">
        <f>+D1630/D1632</f>
        <v>6.1855670103092786E-2</v>
      </c>
      <c r="F1630" s="42">
        <f t="shared" si="154"/>
        <v>16</v>
      </c>
      <c r="G1630" s="35">
        <f>+F1630/F1632</f>
        <v>4.9079754601226995E-2</v>
      </c>
      <c r="H1630" s="181">
        <v>3.864734299516908E-2</v>
      </c>
      <c r="I1630" s="180">
        <v>5.434782608695652E-2</v>
      </c>
      <c r="J1630" s="182">
        <v>4.3478260869565216E-2</v>
      </c>
      <c r="K1630" s="181">
        <v>5.2208835341365459E-2</v>
      </c>
      <c r="L1630" s="180">
        <v>7.2992700729927001E-2</v>
      </c>
      <c r="M1630" s="182">
        <v>5.9585492227979271E-2</v>
      </c>
      <c r="N1630" s="181">
        <v>6.4971751412429377E-2</v>
      </c>
      <c r="O1630" s="180">
        <v>3.7499999999999999E-2</v>
      </c>
      <c r="P1630" s="182">
        <v>5.642023346303502E-2</v>
      </c>
      <c r="Q1630" s="181">
        <v>0.16</v>
      </c>
      <c r="R1630" s="180">
        <v>0.14000000000000001</v>
      </c>
      <c r="S1630" s="182">
        <v>0.15</v>
      </c>
      <c r="T1630" s="181">
        <v>6.4189189189189186E-2</v>
      </c>
      <c r="U1630" s="180">
        <v>7.3619631901840496E-2</v>
      </c>
      <c r="V1630" s="182">
        <v>6.7538126361655779E-2</v>
      </c>
      <c r="W1630" s="181">
        <v>2.932551319648094E-2</v>
      </c>
      <c r="X1630" s="180">
        <v>4.8611111111111112E-2</v>
      </c>
      <c r="Y1630" s="182">
        <v>3.5051546391752578E-2</v>
      </c>
      <c r="Z1630" s="181">
        <v>0.18181818181818182</v>
      </c>
      <c r="AA1630" s="180">
        <v>0.11764705882352941</v>
      </c>
      <c r="AB1630" s="182">
        <v>0.14285714285714285</v>
      </c>
    </row>
    <row r="1631" spans="1:32" s="41" customFormat="1" ht="15" thickBot="1" x14ac:dyDescent="0.25">
      <c r="A1631" s="93" t="s">
        <v>39</v>
      </c>
      <c r="B1631" s="31">
        <f>COUNTIFS(DATA!$BB$3:$BB$7183,"4",DATA!$D$3:$D$7183,260)</f>
        <v>25</v>
      </c>
      <c r="C1631" s="35">
        <f>IF(B1632=0,0,+B1631/B1632)</f>
        <v>0.1091703056768559</v>
      </c>
      <c r="D1631" s="42">
        <f>COUNTIFS(DATA!$BB$3:$BB$7183,"4",DATA!$D$3:$D$7183,280)</f>
        <v>11</v>
      </c>
      <c r="E1631" s="35">
        <f>+D1631/D1632</f>
        <v>0.1134020618556701</v>
      </c>
      <c r="F1631" s="42">
        <f t="shared" si="154"/>
        <v>36</v>
      </c>
      <c r="G1631" s="35">
        <f>+F1631/F1632</f>
        <v>0.11042944785276074</v>
      </c>
      <c r="H1631" s="181">
        <v>0.10628019323671498</v>
      </c>
      <c r="I1631" s="180">
        <v>0.16304347826086957</v>
      </c>
      <c r="J1631" s="182">
        <v>0.12374581939799331</v>
      </c>
      <c r="K1631" s="181">
        <v>9.6385542168674704E-2</v>
      </c>
      <c r="L1631" s="180">
        <v>9.4890510948905105E-2</v>
      </c>
      <c r="M1631" s="182">
        <v>9.585492227979274E-2</v>
      </c>
      <c r="N1631" s="181">
        <v>0.10734463276836158</v>
      </c>
      <c r="O1631" s="180">
        <v>0.1125</v>
      </c>
      <c r="P1631" s="182">
        <v>0.10894941634241245</v>
      </c>
      <c r="Q1631" s="181">
        <v>0.08</v>
      </c>
      <c r="R1631" s="180">
        <v>0.13</v>
      </c>
      <c r="S1631" s="182">
        <v>0.1</v>
      </c>
      <c r="T1631" s="181">
        <v>8.4459459459459457E-2</v>
      </c>
      <c r="U1631" s="180">
        <v>0.13496932515337423</v>
      </c>
      <c r="V1631" s="182">
        <v>0.10239651416122005</v>
      </c>
      <c r="W1631" s="181">
        <v>0.11436950146627566</v>
      </c>
      <c r="X1631" s="180">
        <v>0.1111111111111111</v>
      </c>
      <c r="Y1631" s="182">
        <v>0.1134020618556701</v>
      </c>
      <c r="Z1631" s="181">
        <v>0.27272727272727271</v>
      </c>
      <c r="AA1631" s="180">
        <v>0</v>
      </c>
      <c r="AB1631" s="182">
        <v>0.10714285714285714</v>
      </c>
    </row>
    <row r="1632" spans="1:32" s="41" customFormat="1" ht="15.75" thickBot="1" x14ac:dyDescent="0.3">
      <c r="A1632" s="111" t="s">
        <v>16</v>
      </c>
      <c r="B1632" s="101">
        <f>SUM(B1628:B1631)</f>
        <v>229</v>
      </c>
      <c r="C1632" s="114">
        <f>IF(B1632=0,0,+B1632/B1632)</f>
        <v>1</v>
      </c>
      <c r="D1632" s="101">
        <f>SUM(D1628:D1631)</f>
        <v>97</v>
      </c>
      <c r="E1632" s="114">
        <f>+D1632/D1632</f>
        <v>1</v>
      </c>
      <c r="F1632" s="101">
        <f>SUM(F1628:F1631)</f>
        <v>326</v>
      </c>
      <c r="G1632" s="114">
        <f>+F1632/F1632</f>
        <v>1</v>
      </c>
      <c r="H1632" s="183">
        <v>1</v>
      </c>
      <c r="I1632" s="184">
        <v>1</v>
      </c>
      <c r="J1632" s="185">
        <v>1</v>
      </c>
      <c r="K1632" s="183">
        <v>1</v>
      </c>
      <c r="L1632" s="184">
        <v>1</v>
      </c>
      <c r="M1632" s="185">
        <v>1</v>
      </c>
      <c r="N1632" s="183">
        <v>1</v>
      </c>
      <c r="O1632" s="184">
        <v>1</v>
      </c>
      <c r="P1632" s="185">
        <v>1</v>
      </c>
      <c r="Q1632" s="183">
        <v>1</v>
      </c>
      <c r="R1632" s="184">
        <v>1</v>
      </c>
      <c r="S1632" s="185">
        <v>1</v>
      </c>
      <c r="T1632" s="183">
        <v>1</v>
      </c>
      <c r="U1632" s="184">
        <v>1</v>
      </c>
      <c r="V1632" s="185">
        <v>1</v>
      </c>
      <c r="W1632" s="183">
        <v>1</v>
      </c>
      <c r="X1632" s="184">
        <v>1</v>
      </c>
      <c r="Y1632" s="185">
        <v>1</v>
      </c>
      <c r="Z1632" s="183">
        <v>1</v>
      </c>
      <c r="AA1632" s="184">
        <v>1</v>
      </c>
      <c r="AB1632" s="185">
        <v>1</v>
      </c>
      <c r="AF1632" s="162"/>
    </row>
    <row r="1633" spans="11:18" s="41" customFormat="1" x14ac:dyDescent="0.2">
      <c r="N1633" s="162"/>
    </row>
    <row r="1634" spans="11:18" s="41" customFormat="1" x14ac:dyDescent="0.2">
      <c r="K1634" s="212" t="s">
        <v>142</v>
      </c>
      <c r="L1634" s="213"/>
      <c r="M1634" s="213"/>
      <c r="N1634" s="213"/>
      <c r="O1634" s="213"/>
      <c r="P1634" s="213"/>
      <c r="Q1634" s="213"/>
      <c r="R1634" s="213"/>
    </row>
    <row r="1635" spans="11:18" s="41" customFormat="1" x14ac:dyDescent="0.2">
      <c r="K1635" s="216" t="s">
        <v>7226</v>
      </c>
      <c r="L1635" s="217"/>
      <c r="M1635" s="217"/>
      <c r="N1635" s="217"/>
      <c r="O1635" s="217"/>
      <c r="P1635" s="217"/>
      <c r="Q1635" s="217"/>
      <c r="R1635" s="217"/>
    </row>
    <row r="1636" spans="11:18" s="41" customFormat="1" x14ac:dyDescent="0.2">
      <c r="K1636" s="216" t="s">
        <v>7227</v>
      </c>
      <c r="L1636" s="217"/>
      <c r="M1636" s="217"/>
      <c r="N1636" s="217"/>
      <c r="O1636" s="217"/>
      <c r="P1636" s="217"/>
      <c r="Q1636" s="217"/>
      <c r="R1636" s="217"/>
    </row>
    <row r="1637" spans="11:18" s="41" customFormat="1" x14ac:dyDescent="0.2">
      <c r="K1637" s="214" t="s">
        <v>7228</v>
      </c>
      <c r="L1637" s="215"/>
      <c r="M1637" s="215"/>
      <c r="N1637" s="215"/>
      <c r="O1637" s="215"/>
      <c r="P1637" s="215"/>
      <c r="Q1637" s="215"/>
      <c r="R1637" s="215"/>
    </row>
    <row r="1638" spans="11:18" s="41" customFormat="1" x14ac:dyDescent="0.2">
      <c r="K1638" s="214" t="s">
        <v>7229</v>
      </c>
      <c r="L1638" s="215"/>
      <c r="M1638" s="215"/>
      <c r="N1638" s="215"/>
      <c r="O1638" s="215"/>
      <c r="P1638" s="215"/>
      <c r="Q1638" s="215"/>
      <c r="R1638" s="215"/>
    </row>
    <row r="1639" spans="11:18" s="41" customFormat="1" x14ac:dyDescent="0.2">
      <c r="N1639" s="162"/>
    </row>
    <row r="1640" spans="11:18" s="41" customFormat="1" x14ac:dyDescent="0.2"/>
    <row r="1641" spans="11:18" s="41" customFormat="1" x14ac:dyDescent="0.2">
      <c r="N1641" s="162"/>
    </row>
    <row r="1642" spans="11:18" s="41" customFormat="1" x14ac:dyDescent="0.2">
      <c r="N1642" s="162"/>
    </row>
    <row r="1643" spans="11:18" s="41" customFormat="1" x14ac:dyDescent="0.2">
      <c r="N1643" s="162"/>
    </row>
    <row r="1644" spans="11:18" s="41" customFormat="1" x14ac:dyDescent="0.2">
      <c r="N1644" s="162"/>
    </row>
    <row r="1645" spans="11:18" s="41" customFormat="1" x14ac:dyDescent="0.2">
      <c r="N1645" s="162"/>
    </row>
    <row r="1646" spans="11:18" s="41" customFormat="1" x14ac:dyDescent="0.2">
      <c r="N1646" s="162"/>
    </row>
    <row r="1647" spans="11:18" s="41" customFormat="1" x14ac:dyDescent="0.2">
      <c r="N1647" s="162"/>
    </row>
    <row r="1648" spans="11:18" s="41" customFormat="1" x14ac:dyDescent="0.2">
      <c r="N1648" s="162"/>
    </row>
    <row r="1649" spans="1:32" s="41" customFormat="1" x14ac:dyDescent="0.2">
      <c r="N1649" s="162"/>
    </row>
    <row r="1650" spans="1:32" s="41" customFormat="1" x14ac:dyDescent="0.2">
      <c r="N1650" s="162"/>
    </row>
    <row r="1651" spans="1:32" s="41" customFormat="1" x14ac:dyDescent="0.2">
      <c r="N1651" s="162"/>
    </row>
    <row r="1652" spans="1:32" s="41" customFormat="1" x14ac:dyDescent="0.2">
      <c r="N1652" s="162"/>
    </row>
    <row r="1653" spans="1:32" s="41" customFormat="1" x14ac:dyDescent="0.2">
      <c r="N1653" s="162"/>
    </row>
    <row r="1654" spans="1:32" s="41" customFormat="1" x14ac:dyDescent="0.2">
      <c r="N1654" s="162"/>
    </row>
    <row r="1655" spans="1:32" s="41" customFormat="1" x14ac:dyDescent="0.2">
      <c r="N1655" s="162"/>
    </row>
    <row r="1656" spans="1:32" s="41" customFormat="1" x14ac:dyDescent="0.2">
      <c r="N1656" s="162"/>
    </row>
    <row r="1657" spans="1:32" s="41" customFormat="1" x14ac:dyDescent="0.2">
      <c r="N1657" s="162"/>
    </row>
    <row r="1658" spans="1:32" s="41" customFormat="1" x14ac:dyDescent="0.2">
      <c r="N1658" s="162"/>
    </row>
    <row r="1659" spans="1:32" s="41" customFormat="1" ht="15" thickBot="1" x14ac:dyDescent="0.25">
      <c r="N1659" s="162"/>
    </row>
    <row r="1660" spans="1:32" s="41" customFormat="1" ht="42" customHeight="1" thickBot="1" x14ac:dyDescent="0.25">
      <c r="A1660" s="240" t="s">
        <v>172</v>
      </c>
      <c r="B1660" s="241"/>
      <c r="C1660" s="241"/>
      <c r="D1660" s="241"/>
      <c r="E1660" s="241"/>
      <c r="F1660" s="241"/>
      <c r="G1660" s="242"/>
      <c r="H1660" s="74"/>
      <c r="I1660" s="74"/>
      <c r="J1660" s="74"/>
      <c r="K1660" s="74"/>
      <c r="N1660" s="162"/>
    </row>
    <row r="1661" spans="1:32" s="41" customFormat="1" ht="15.75" thickBot="1" x14ac:dyDescent="0.3">
      <c r="A1661" s="28"/>
      <c r="B1661" s="234" t="str">
        <f>+B73</f>
        <v>Successful</v>
      </c>
      <c r="C1661" s="235"/>
      <c r="D1661" s="236" t="str">
        <f>+D73</f>
        <v>Unsuccessful</v>
      </c>
      <c r="E1661" s="237"/>
      <c r="F1661" s="238" t="s">
        <v>16</v>
      </c>
      <c r="G1661" s="239"/>
      <c r="H1661" s="206">
        <f>+H73</f>
        <v>2021</v>
      </c>
      <c r="I1661" s="207"/>
      <c r="J1661" s="208"/>
      <c r="K1661" s="206">
        <f>+K73</f>
        <v>2020</v>
      </c>
      <c r="L1661" s="207"/>
      <c r="M1661" s="208"/>
      <c r="N1661" s="206">
        <f>+N73</f>
        <v>2019</v>
      </c>
      <c r="O1661" s="207"/>
      <c r="P1661" s="208"/>
      <c r="Q1661" s="206">
        <f>+Q73</f>
        <v>2018</v>
      </c>
      <c r="R1661" s="207"/>
      <c r="S1661" s="208"/>
      <c r="T1661" s="206">
        <f>+T73</f>
        <v>2017</v>
      </c>
      <c r="U1661" s="207"/>
      <c r="V1661" s="208"/>
      <c r="W1661" s="209">
        <f>+W73</f>
        <v>2016</v>
      </c>
      <c r="X1661" s="210"/>
      <c r="Y1661" s="211"/>
      <c r="Z1661" s="209">
        <f>+Z73</f>
        <v>2015</v>
      </c>
      <c r="AA1661" s="210"/>
      <c r="AB1661" s="211"/>
      <c r="AC1661" s="165"/>
      <c r="AF1661" s="162"/>
    </row>
    <row r="1662" spans="1:32" s="41" customFormat="1" ht="29.25" thickBot="1" x14ac:dyDescent="0.25">
      <c r="A1662" s="28"/>
      <c r="B1662" s="29" t="s">
        <v>37</v>
      </c>
      <c r="C1662" s="30" t="s">
        <v>38</v>
      </c>
      <c r="D1662" s="29" t="s">
        <v>37</v>
      </c>
      <c r="E1662" s="30" t="s">
        <v>38</v>
      </c>
      <c r="F1662" s="29" t="s">
        <v>37</v>
      </c>
      <c r="G1662" s="30" t="s">
        <v>38</v>
      </c>
      <c r="H1662" s="186" t="s">
        <v>132</v>
      </c>
      <c r="I1662" s="187" t="s">
        <v>133</v>
      </c>
      <c r="J1662" s="44" t="s">
        <v>16</v>
      </c>
      <c r="K1662" s="186" t="s">
        <v>132</v>
      </c>
      <c r="L1662" s="187" t="s">
        <v>133</v>
      </c>
      <c r="M1662" s="44" t="s">
        <v>16</v>
      </c>
      <c r="N1662" s="186" t="s">
        <v>132</v>
      </c>
      <c r="O1662" s="187" t="s">
        <v>133</v>
      </c>
      <c r="P1662" s="44" t="s">
        <v>16</v>
      </c>
      <c r="Q1662" s="186" t="s">
        <v>132</v>
      </c>
      <c r="R1662" s="187" t="s">
        <v>133</v>
      </c>
      <c r="S1662" s="44" t="s">
        <v>16</v>
      </c>
      <c r="T1662" s="186" t="s">
        <v>132</v>
      </c>
      <c r="U1662" s="187" t="s">
        <v>133</v>
      </c>
      <c r="V1662" s="44" t="s">
        <v>16</v>
      </c>
      <c r="W1662" s="186" t="s">
        <v>132</v>
      </c>
      <c r="X1662" s="187" t="s">
        <v>133</v>
      </c>
      <c r="Y1662" s="44" t="s">
        <v>16</v>
      </c>
      <c r="Z1662" s="186" t="s">
        <v>132</v>
      </c>
      <c r="AA1662" s="187" t="s">
        <v>133</v>
      </c>
      <c r="AB1662" s="44" t="s">
        <v>16</v>
      </c>
    </row>
    <row r="1663" spans="1:32" s="41" customFormat="1" ht="27.75" customHeight="1" x14ac:dyDescent="0.2">
      <c r="A1663" s="98" t="s">
        <v>134</v>
      </c>
      <c r="B1663" s="31">
        <f>COUNTIFS(DATA!$BC$3:$BC$7183,1,DATA!$D$3:$D$7183,260)</f>
        <v>185</v>
      </c>
      <c r="C1663" s="35">
        <f>IF(B1667=0,0,+B1663/B1667)</f>
        <v>0.80786026200873362</v>
      </c>
      <c r="D1663" s="31">
        <f>COUNTIFS(DATA!$BC$3:$BC$7183,1,DATA!$D$3:$D$7183,280)</f>
        <v>66</v>
      </c>
      <c r="E1663" s="35">
        <f>+D1663/D1667</f>
        <v>0.68041237113402064</v>
      </c>
      <c r="F1663" s="31">
        <f>+D1663+B1663</f>
        <v>251</v>
      </c>
      <c r="G1663" s="35">
        <f>+F1663/F1667</f>
        <v>0.76993865030674846</v>
      </c>
      <c r="H1663" s="181">
        <v>0.81642512077294682</v>
      </c>
      <c r="I1663" s="180">
        <v>0.59782608695652173</v>
      </c>
      <c r="J1663" s="182">
        <v>0.74916387959866215</v>
      </c>
      <c r="K1663" s="181">
        <v>0.81927710843373491</v>
      </c>
      <c r="L1663" s="180">
        <v>0.75182481751824815</v>
      </c>
      <c r="M1663" s="182">
        <v>0.79533678756476689</v>
      </c>
      <c r="N1663" s="181">
        <v>0.79943502824858759</v>
      </c>
      <c r="O1663" s="180">
        <v>0.68125000000000002</v>
      </c>
      <c r="P1663" s="182">
        <v>0.76264591439688711</v>
      </c>
      <c r="Q1663" s="181">
        <v>0.69</v>
      </c>
      <c r="R1663" s="180">
        <v>0.62</v>
      </c>
      <c r="S1663" s="182">
        <v>0.67</v>
      </c>
      <c r="T1663" s="181">
        <v>0.79391891891891897</v>
      </c>
      <c r="U1663" s="180">
        <v>0.66257668711656437</v>
      </c>
      <c r="V1663" s="182">
        <v>0.74727668845315909</v>
      </c>
      <c r="W1663" s="181">
        <v>0.79472140762463339</v>
      </c>
      <c r="X1663" s="180">
        <v>0.70833333333333337</v>
      </c>
      <c r="Y1663" s="182">
        <v>0.76907216494845365</v>
      </c>
      <c r="Z1663" s="181">
        <v>0.18181818181818182</v>
      </c>
      <c r="AA1663" s="180">
        <v>0.23529411764705882</v>
      </c>
      <c r="AB1663" s="182">
        <v>0.21428571428571427</v>
      </c>
    </row>
    <row r="1664" spans="1:32" s="41" customFormat="1" ht="29.25" customHeight="1" x14ac:dyDescent="0.2">
      <c r="A1664" s="99" t="s">
        <v>135</v>
      </c>
      <c r="B1664" s="31">
        <f>COUNTIFS(DATA!$BC$3:$BC$7183,2,DATA!$D$3:$D$7183,260)</f>
        <v>8</v>
      </c>
      <c r="C1664" s="35">
        <f>IF(B1667=0,0,+B1664/B1667)</f>
        <v>3.4934497816593885E-2</v>
      </c>
      <c r="D1664" s="42">
        <f>COUNTIFS(DATA!$BC$3:$BC$7183,2,DATA!$D$3:$D$7183,280)</f>
        <v>9</v>
      </c>
      <c r="E1664" s="35">
        <f>+D1664/D1667</f>
        <v>9.2783505154639179E-2</v>
      </c>
      <c r="F1664" s="42">
        <f t="shared" ref="F1664:F1666" si="155">+D1664+B1664</f>
        <v>17</v>
      </c>
      <c r="G1664" s="35">
        <f>+F1664/F1667</f>
        <v>5.2147239263803678E-2</v>
      </c>
      <c r="H1664" s="181">
        <v>3.864734299516908E-2</v>
      </c>
      <c r="I1664" s="180">
        <v>0.13043478260869565</v>
      </c>
      <c r="J1664" s="182">
        <v>6.6889632107023408E-2</v>
      </c>
      <c r="K1664" s="181">
        <v>2.8112449799196786E-2</v>
      </c>
      <c r="L1664" s="180">
        <v>9.4890510948905105E-2</v>
      </c>
      <c r="M1664" s="182">
        <v>5.181347150259067E-2</v>
      </c>
      <c r="N1664" s="181">
        <v>1.6949152542372881E-2</v>
      </c>
      <c r="O1664" s="180">
        <v>0.11874999999999999</v>
      </c>
      <c r="P1664" s="182">
        <v>4.8638132295719845E-2</v>
      </c>
      <c r="Q1664" s="181">
        <v>0.05</v>
      </c>
      <c r="R1664" s="180">
        <v>0.11</v>
      </c>
      <c r="S1664" s="182">
        <v>7.0000000000000007E-2</v>
      </c>
      <c r="T1664" s="181">
        <v>5.0675675675675678E-2</v>
      </c>
      <c r="U1664" s="180">
        <v>0.13496932515337423</v>
      </c>
      <c r="V1664" s="182">
        <v>8.0610021786492375E-2</v>
      </c>
      <c r="W1664" s="181">
        <v>4.9853372434017593E-2</v>
      </c>
      <c r="X1664" s="180">
        <v>0.14583333333333334</v>
      </c>
      <c r="Y1664" s="182">
        <v>7.8350515463917525E-2</v>
      </c>
      <c r="Z1664" s="181">
        <v>0.27272727272727271</v>
      </c>
      <c r="AA1664" s="180">
        <v>0.52941176470588236</v>
      </c>
      <c r="AB1664" s="182">
        <v>0.42857142857142855</v>
      </c>
    </row>
    <row r="1665" spans="1:32" s="41" customFormat="1" ht="27.75" customHeight="1" x14ac:dyDescent="0.2">
      <c r="A1665" s="92" t="s">
        <v>94</v>
      </c>
      <c r="B1665" s="31">
        <f>COUNTIFS(DATA!$BC$3:$BC$7183,"3",DATA!$D$3:$D$7183,260)</f>
        <v>11</v>
      </c>
      <c r="C1665" s="35">
        <f>IF(B1667=0,0,+B1665/B1667)</f>
        <v>4.8034934497816595E-2</v>
      </c>
      <c r="D1665" s="42">
        <f>COUNTIFS(DATA!$BC$3:$BC$7183,"3",DATA!$D$3:$D$7183,280)</f>
        <v>11</v>
      </c>
      <c r="E1665" s="35">
        <f>+D1665/D1667</f>
        <v>0.1134020618556701</v>
      </c>
      <c r="F1665" s="42">
        <f t="shared" si="155"/>
        <v>22</v>
      </c>
      <c r="G1665" s="35">
        <f>+F1665/F1667</f>
        <v>6.7484662576687116E-2</v>
      </c>
      <c r="H1665" s="181">
        <v>3.864734299516908E-2</v>
      </c>
      <c r="I1665" s="180">
        <v>9.7826086956521743E-2</v>
      </c>
      <c r="J1665" s="182">
        <v>5.6856187290969896E-2</v>
      </c>
      <c r="K1665" s="181">
        <v>5.6224899598393573E-2</v>
      </c>
      <c r="L1665" s="180">
        <v>6.569343065693431E-2</v>
      </c>
      <c r="M1665" s="182">
        <v>5.9585492227979271E-2</v>
      </c>
      <c r="N1665" s="181">
        <v>7.909604519774012E-2</v>
      </c>
      <c r="O1665" s="180">
        <v>7.4999999999999997E-2</v>
      </c>
      <c r="P1665" s="182">
        <v>7.7821011673151752E-2</v>
      </c>
      <c r="Q1665" s="181">
        <v>0.18</v>
      </c>
      <c r="R1665" s="180">
        <v>0.14000000000000001</v>
      </c>
      <c r="S1665" s="182">
        <v>0.17</v>
      </c>
      <c r="T1665" s="181">
        <v>6.7567567567567571E-2</v>
      </c>
      <c r="U1665" s="180">
        <v>6.7484662576687116E-2</v>
      </c>
      <c r="V1665" s="182">
        <v>6.7538126361655779E-2</v>
      </c>
      <c r="W1665" s="181">
        <v>4.1055718475073312E-2</v>
      </c>
      <c r="X1665" s="180">
        <v>4.1666666666666664E-2</v>
      </c>
      <c r="Y1665" s="182">
        <v>4.1237113402061855E-2</v>
      </c>
      <c r="Z1665" s="181">
        <v>0.27272727272727271</v>
      </c>
      <c r="AA1665" s="180">
        <v>0.23529411764705882</v>
      </c>
      <c r="AB1665" s="182">
        <v>0.25</v>
      </c>
    </row>
    <row r="1666" spans="1:32" s="41" customFormat="1" ht="15" thickBot="1" x14ac:dyDescent="0.25">
      <c r="A1666" s="93" t="s">
        <v>39</v>
      </c>
      <c r="B1666" s="31">
        <f>COUNTIFS(DATA!$BC$3:$BC$7183,"4",DATA!$D$3:$D$7183,260)</f>
        <v>25</v>
      </c>
      <c r="C1666" s="35">
        <f>IF(B1667=0,0,+B1666/B1667)</f>
        <v>0.1091703056768559</v>
      </c>
      <c r="D1666" s="42">
        <f>COUNTIFS(DATA!$BC$3:$BC$7183,"4",DATA!$D$3:$D$7183,280)</f>
        <v>11</v>
      </c>
      <c r="E1666" s="35">
        <f>+D1666/D1667</f>
        <v>0.1134020618556701</v>
      </c>
      <c r="F1666" s="42">
        <f t="shared" si="155"/>
        <v>36</v>
      </c>
      <c r="G1666" s="35">
        <f>+F1666/F1667</f>
        <v>0.11042944785276074</v>
      </c>
      <c r="H1666" s="181">
        <v>0.10628019323671498</v>
      </c>
      <c r="I1666" s="180">
        <v>0.17391304347826086</v>
      </c>
      <c r="J1666" s="182">
        <v>0.12709030100334448</v>
      </c>
      <c r="K1666" s="181">
        <v>9.6385542168674704E-2</v>
      </c>
      <c r="L1666" s="180">
        <v>8.7591240875912413E-2</v>
      </c>
      <c r="M1666" s="182">
        <v>9.3264248704663211E-2</v>
      </c>
      <c r="N1666" s="181">
        <v>0.10451977401129943</v>
      </c>
      <c r="O1666" s="180">
        <v>0.125</v>
      </c>
      <c r="P1666" s="182">
        <v>0.11089494163424124</v>
      </c>
      <c r="Q1666" s="181">
        <v>0.08</v>
      </c>
      <c r="R1666" s="180">
        <v>0.13</v>
      </c>
      <c r="S1666" s="182">
        <v>0.1</v>
      </c>
      <c r="T1666" s="181">
        <v>8.7837837837837843E-2</v>
      </c>
      <c r="U1666" s="180">
        <v>0.13496932515337423</v>
      </c>
      <c r="V1666" s="182">
        <v>0.10457516339869281</v>
      </c>
      <c r="W1666" s="181">
        <v>0.11436950146627566</v>
      </c>
      <c r="X1666" s="180">
        <v>0.10416666666666667</v>
      </c>
      <c r="Y1666" s="182">
        <v>0.11134020618556702</v>
      </c>
      <c r="Z1666" s="181">
        <v>0.27272727272727271</v>
      </c>
      <c r="AA1666" s="180">
        <v>0</v>
      </c>
      <c r="AB1666" s="182">
        <v>0.10714285714285714</v>
      </c>
    </row>
    <row r="1667" spans="1:32" s="41" customFormat="1" ht="15.75" thickBot="1" x14ac:dyDescent="0.3">
      <c r="A1667" s="111" t="s">
        <v>16</v>
      </c>
      <c r="B1667" s="101">
        <f>SUM(B1663:B1666)</f>
        <v>229</v>
      </c>
      <c r="C1667" s="114">
        <f>IF(B1667=0,0,+B1667/B1667)</f>
        <v>1</v>
      </c>
      <c r="D1667" s="101">
        <f>SUM(D1663:D1666)</f>
        <v>97</v>
      </c>
      <c r="E1667" s="114">
        <f>+D1667/D1667</f>
        <v>1</v>
      </c>
      <c r="F1667" s="101">
        <f>SUM(F1663:F1666)</f>
        <v>326</v>
      </c>
      <c r="G1667" s="114">
        <f>+F1667/F1667</f>
        <v>1</v>
      </c>
      <c r="H1667" s="183">
        <v>1</v>
      </c>
      <c r="I1667" s="184">
        <v>1</v>
      </c>
      <c r="J1667" s="185">
        <v>1</v>
      </c>
      <c r="K1667" s="183">
        <v>1</v>
      </c>
      <c r="L1667" s="184">
        <v>1</v>
      </c>
      <c r="M1667" s="185">
        <v>1</v>
      </c>
      <c r="N1667" s="183">
        <v>1</v>
      </c>
      <c r="O1667" s="184">
        <v>1</v>
      </c>
      <c r="P1667" s="185">
        <v>1</v>
      </c>
      <c r="Q1667" s="183">
        <v>1</v>
      </c>
      <c r="R1667" s="184">
        <v>1</v>
      </c>
      <c r="S1667" s="185">
        <v>1</v>
      </c>
      <c r="T1667" s="183">
        <v>1</v>
      </c>
      <c r="U1667" s="184">
        <v>1</v>
      </c>
      <c r="V1667" s="185">
        <v>1</v>
      </c>
      <c r="W1667" s="183">
        <v>1</v>
      </c>
      <c r="X1667" s="184">
        <v>1</v>
      </c>
      <c r="Y1667" s="185">
        <v>1</v>
      </c>
      <c r="Z1667" s="183">
        <v>1</v>
      </c>
      <c r="AA1667" s="184">
        <v>1</v>
      </c>
      <c r="AB1667" s="185">
        <v>1</v>
      </c>
      <c r="AF1667" s="162"/>
    </row>
    <row r="1668" spans="1:32" s="41" customFormat="1" x14ac:dyDescent="0.2">
      <c r="N1668" s="162"/>
    </row>
    <row r="1669" spans="1:32" s="41" customFormat="1" ht="14.25" customHeight="1" x14ac:dyDescent="0.2">
      <c r="K1669" s="213" t="s">
        <v>186</v>
      </c>
      <c r="L1669" s="213"/>
      <c r="M1669" s="213"/>
      <c r="N1669" s="213"/>
      <c r="O1669" s="213"/>
      <c r="P1669" s="213"/>
      <c r="Q1669" s="213"/>
      <c r="R1669" s="213"/>
    </row>
    <row r="1670" spans="1:32" s="41" customFormat="1" x14ac:dyDescent="0.2">
      <c r="K1670" s="213"/>
      <c r="L1670" s="213"/>
      <c r="M1670" s="213"/>
      <c r="N1670" s="213"/>
      <c r="O1670" s="213"/>
      <c r="P1670" s="213"/>
      <c r="Q1670" s="213"/>
      <c r="R1670" s="213"/>
    </row>
    <row r="1671" spans="1:32" s="41" customFormat="1" ht="14.25" customHeight="1" x14ac:dyDescent="0.2">
      <c r="K1671" s="219" t="s">
        <v>7230</v>
      </c>
      <c r="L1671" s="219"/>
      <c r="M1671" s="219"/>
      <c r="N1671" s="219"/>
      <c r="O1671" s="219"/>
      <c r="P1671" s="219"/>
      <c r="Q1671" s="219"/>
      <c r="R1671" s="219"/>
    </row>
    <row r="1672" spans="1:32" s="41" customFormat="1" x14ac:dyDescent="0.2">
      <c r="K1672" s="219"/>
      <c r="L1672" s="219"/>
      <c r="M1672" s="219"/>
      <c r="N1672" s="219"/>
      <c r="O1672" s="219"/>
      <c r="P1672" s="219"/>
      <c r="Q1672" s="219"/>
      <c r="R1672" s="219"/>
    </row>
    <row r="1673" spans="1:32" s="41" customFormat="1" ht="14.25" customHeight="1" x14ac:dyDescent="0.2">
      <c r="K1673" s="219" t="s">
        <v>7231</v>
      </c>
      <c r="L1673" s="219"/>
      <c r="M1673" s="219"/>
      <c r="N1673" s="219"/>
      <c r="O1673" s="219"/>
      <c r="P1673" s="219"/>
      <c r="Q1673" s="219"/>
      <c r="R1673" s="219"/>
    </row>
    <row r="1674" spans="1:32" s="41" customFormat="1" x14ac:dyDescent="0.2">
      <c r="K1674" s="219"/>
      <c r="L1674" s="219"/>
      <c r="M1674" s="219"/>
      <c r="N1674" s="219"/>
      <c r="O1674" s="219"/>
      <c r="P1674" s="219"/>
      <c r="Q1674" s="219"/>
      <c r="R1674" s="219"/>
    </row>
    <row r="1675" spans="1:32" s="41" customFormat="1" ht="14.25" customHeight="1" x14ac:dyDescent="0.2">
      <c r="K1675" s="215" t="s">
        <v>7232</v>
      </c>
      <c r="L1675" s="215"/>
      <c r="M1675" s="215"/>
      <c r="N1675" s="215"/>
      <c r="O1675" s="215"/>
      <c r="P1675" s="215"/>
      <c r="Q1675" s="215"/>
      <c r="R1675" s="215"/>
    </row>
    <row r="1676" spans="1:32" s="41" customFormat="1" x14ac:dyDescent="0.2">
      <c r="K1676" s="215"/>
      <c r="L1676" s="215"/>
      <c r="M1676" s="215"/>
      <c r="N1676" s="215"/>
      <c r="O1676" s="215"/>
      <c r="P1676" s="215"/>
      <c r="Q1676" s="215"/>
      <c r="R1676" s="215"/>
    </row>
    <row r="1677" spans="1:32" s="41" customFormat="1" x14ac:dyDescent="0.2">
      <c r="K1677" s="214" t="s">
        <v>7233</v>
      </c>
      <c r="L1677" s="215"/>
      <c r="M1677" s="215"/>
      <c r="N1677" s="215"/>
      <c r="O1677" s="215"/>
      <c r="P1677" s="215"/>
      <c r="Q1677" s="215"/>
      <c r="R1677" s="215"/>
    </row>
    <row r="1678" spans="1:32" s="41" customFormat="1" x14ac:dyDescent="0.2">
      <c r="N1678" s="162"/>
    </row>
    <row r="1679" spans="1:32" s="41" customFormat="1" x14ac:dyDescent="0.2"/>
    <row r="1680" spans="1:32" s="41" customFormat="1" x14ac:dyDescent="0.2"/>
    <row r="1681" spans="1:32" s="41" customFormat="1" x14ac:dyDescent="0.2">
      <c r="N1681" s="162"/>
    </row>
    <row r="1682" spans="1:32" s="41" customFormat="1" x14ac:dyDescent="0.2">
      <c r="N1682" s="162"/>
    </row>
    <row r="1683" spans="1:32" s="41" customFormat="1" x14ac:dyDescent="0.2">
      <c r="N1683" s="162"/>
    </row>
    <row r="1684" spans="1:32" s="41" customFormat="1" x14ac:dyDescent="0.2">
      <c r="N1684" s="162"/>
    </row>
    <row r="1685" spans="1:32" s="41" customFormat="1" x14ac:dyDescent="0.2">
      <c r="N1685" s="162"/>
    </row>
    <row r="1686" spans="1:32" s="41" customFormat="1" x14ac:dyDescent="0.2">
      <c r="N1686" s="162"/>
    </row>
    <row r="1687" spans="1:32" s="41" customFormat="1" x14ac:dyDescent="0.2">
      <c r="N1687" s="162"/>
    </row>
    <row r="1688" spans="1:32" s="41" customFormat="1" x14ac:dyDescent="0.2">
      <c r="N1688" s="162"/>
    </row>
    <row r="1689" spans="1:32" s="41" customFormat="1" x14ac:dyDescent="0.2">
      <c r="N1689" s="162"/>
    </row>
    <row r="1690" spans="1:32" s="41" customFormat="1" x14ac:dyDescent="0.2">
      <c r="N1690" s="162"/>
    </row>
    <row r="1691" spans="1:32" s="41" customFormat="1" x14ac:dyDescent="0.2">
      <c r="N1691" s="162"/>
    </row>
    <row r="1692" spans="1:32" s="41" customFormat="1" x14ac:dyDescent="0.2">
      <c r="N1692" s="162"/>
    </row>
    <row r="1693" spans="1:32" s="41" customFormat="1" x14ac:dyDescent="0.2">
      <c r="N1693" s="162"/>
    </row>
    <row r="1694" spans="1:32" s="41" customFormat="1" ht="15" thickBot="1" x14ac:dyDescent="0.25">
      <c r="N1694" s="162"/>
    </row>
    <row r="1695" spans="1:32" s="41" customFormat="1" ht="42" customHeight="1" thickBot="1" x14ac:dyDescent="0.25">
      <c r="A1695" s="240" t="s">
        <v>125</v>
      </c>
      <c r="B1695" s="241"/>
      <c r="C1695" s="241"/>
      <c r="D1695" s="241"/>
      <c r="E1695" s="241"/>
      <c r="F1695" s="241"/>
      <c r="G1695" s="242"/>
      <c r="H1695" s="74"/>
      <c r="I1695" s="74"/>
      <c r="J1695" s="74"/>
      <c r="K1695" s="74"/>
      <c r="N1695" s="162"/>
    </row>
    <row r="1696" spans="1:32" s="41" customFormat="1" ht="15.75" thickBot="1" x14ac:dyDescent="0.3">
      <c r="A1696" s="28"/>
      <c r="B1696" s="234" t="str">
        <f>+B73</f>
        <v>Successful</v>
      </c>
      <c r="C1696" s="235"/>
      <c r="D1696" s="236" t="str">
        <f>+D73</f>
        <v>Unsuccessful</v>
      </c>
      <c r="E1696" s="237"/>
      <c r="F1696" s="238" t="s">
        <v>16</v>
      </c>
      <c r="G1696" s="239"/>
      <c r="H1696" s="206">
        <f>+H73</f>
        <v>2021</v>
      </c>
      <c r="I1696" s="207"/>
      <c r="J1696" s="208"/>
      <c r="K1696" s="206">
        <f>+K73</f>
        <v>2020</v>
      </c>
      <c r="L1696" s="207"/>
      <c r="M1696" s="208"/>
      <c r="N1696" s="206">
        <f>+N73</f>
        <v>2019</v>
      </c>
      <c r="O1696" s="207"/>
      <c r="P1696" s="208"/>
      <c r="Q1696" s="206">
        <f>+Q73</f>
        <v>2018</v>
      </c>
      <c r="R1696" s="207"/>
      <c r="S1696" s="208"/>
      <c r="T1696" s="206">
        <f>+T73</f>
        <v>2017</v>
      </c>
      <c r="U1696" s="207"/>
      <c r="V1696" s="208"/>
      <c r="W1696" s="209">
        <f>+W73</f>
        <v>2016</v>
      </c>
      <c r="X1696" s="210"/>
      <c r="Y1696" s="211"/>
      <c r="Z1696" s="209">
        <f>+Z73</f>
        <v>2015</v>
      </c>
      <c r="AA1696" s="210"/>
      <c r="AB1696" s="211"/>
      <c r="AC1696" s="165"/>
      <c r="AF1696" s="162"/>
    </row>
    <row r="1697" spans="1:32" s="41" customFormat="1" ht="29.25" thickBot="1" x14ac:dyDescent="0.25">
      <c r="A1697" s="28"/>
      <c r="B1697" s="29" t="s">
        <v>37</v>
      </c>
      <c r="C1697" s="30" t="s">
        <v>38</v>
      </c>
      <c r="D1697" s="29" t="s">
        <v>37</v>
      </c>
      <c r="E1697" s="30" t="s">
        <v>38</v>
      </c>
      <c r="F1697" s="29" t="s">
        <v>37</v>
      </c>
      <c r="G1697" s="30" t="s">
        <v>38</v>
      </c>
      <c r="H1697" s="186" t="s">
        <v>132</v>
      </c>
      <c r="I1697" s="187" t="s">
        <v>133</v>
      </c>
      <c r="J1697" s="44" t="s">
        <v>16</v>
      </c>
      <c r="K1697" s="186" t="s">
        <v>132</v>
      </c>
      <c r="L1697" s="187" t="s">
        <v>133</v>
      </c>
      <c r="M1697" s="44" t="s">
        <v>16</v>
      </c>
      <c r="N1697" s="186" t="s">
        <v>132</v>
      </c>
      <c r="O1697" s="187" t="s">
        <v>133</v>
      </c>
      <c r="P1697" s="44" t="s">
        <v>16</v>
      </c>
      <c r="Q1697" s="186" t="s">
        <v>132</v>
      </c>
      <c r="R1697" s="187" t="s">
        <v>133</v>
      </c>
      <c r="S1697" s="44" t="s">
        <v>16</v>
      </c>
      <c r="T1697" s="186" t="s">
        <v>132</v>
      </c>
      <c r="U1697" s="187" t="s">
        <v>133</v>
      </c>
      <c r="V1697" s="44" t="s">
        <v>16</v>
      </c>
      <c r="W1697" s="186" t="s">
        <v>132</v>
      </c>
      <c r="X1697" s="187" t="s">
        <v>133</v>
      </c>
      <c r="Y1697" s="44" t="s">
        <v>16</v>
      </c>
      <c r="Z1697" s="186" t="s">
        <v>132</v>
      </c>
      <c r="AA1697" s="187" t="s">
        <v>133</v>
      </c>
      <c r="AB1697" s="44" t="s">
        <v>16</v>
      </c>
    </row>
    <row r="1698" spans="1:32" s="41" customFormat="1" x14ac:dyDescent="0.2">
      <c r="A1698" s="98" t="s">
        <v>134</v>
      </c>
      <c r="B1698" s="31">
        <f>COUNTIFS(DATA!$BD$3:$BD$7183,1,DATA!$D$3:$D$7183,260)</f>
        <v>193</v>
      </c>
      <c r="C1698" s="35">
        <f>IF(B1702=0,0,+B1698/B1702)</f>
        <v>0.84279475982532748</v>
      </c>
      <c r="D1698" s="31">
        <f>COUNTIFS(DATA!$BD$3:$BD$7183,1,DATA!$D$3:$D$7183,280)</f>
        <v>72</v>
      </c>
      <c r="E1698" s="35">
        <f>+D1698/D1702</f>
        <v>0.74226804123711343</v>
      </c>
      <c r="F1698" s="31">
        <f>+D1698+B1698</f>
        <v>265</v>
      </c>
      <c r="G1698" s="35">
        <f>+F1698/F1702</f>
        <v>0.81288343558282206</v>
      </c>
      <c r="H1698" s="181">
        <v>0.84057971014492749</v>
      </c>
      <c r="I1698" s="180">
        <v>0.67391304347826086</v>
      </c>
      <c r="J1698" s="182">
        <v>0.78929765886287628</v>
      </c>
      <c r="K1698" s="181">
        <v>0.85140562248995988</v>
      </c>
      <c r="L1698" s="180">
        <v>0.78102189781021902</v>
      </c>
      <c r="M1698" s="182">
        <v>0.82642487046632129</v>
      </c>
      <c r="N1698" s="181">
        <v>0.82768361581920902</v>
      </c>
      <c r="O1698" s="180">
        <v>0.70625000000000004</v>
      </c>
      <c r="P1698" s="182">
        <v>0.78988326848249024</v>
      </c>
      <c r="Q1698" s="181">
        <v>0.71</v>
      </c>
      <c r="R1698" s="180">
        <v>0.62</v>
      </c>
      <c r="S1698" s="182">
        <v>0.68</v>
      </c>
      <c r="T1698" s="181">
        <v>0.82432432432432434</v>
      </c>
      <c r="U1698" s="180">
        <v>0.68098159509202449</v>
      </c>
      <c r="V1698" s="182">
        <v>0.7734204793028322</v>
      </c>
      <c r="W1698" s="181">
        <v>0.8299120234604106</v>
      </c>
      <c r="X1698" s="180">
        <v>0.79861111111111116</v>
      </c>
      <c r="Y1698" s="182">
        <v>0.8206185567010309</v>
      </c>
      <c r="Z1698" s="181">
        <v>0.54545454545454541</v>
      </c>
      <c r="AA1698" s="180">
        <v>0.41176470588235292</v>
      </c>
      <c r="AB1698" s="182">
        <v>0.31818181818181818</v>
      </c>
    </row>
    <row r="1699" spans="1:32" s="41" customFormat="1" ht="27.75" customHeight="1" x14ac:dyDescent="0.2">
      <c r="A1699" s="99" t="s">
        <v>135</v>
      </c>
      <c r="B1699" s="31">
        <f>COUNTIFS(DATA!$BD$3:$BD$7183,2,DATA!$D$3:$D$7183,260)</f>
        <v>3</v>
      </c>
      <c r="C1699" s="35">
        <f>IF(B1702=0,0,+B1699/B1702)</f>
        <v>1.3100436681222707E-2</v>
      </c>
      <c r="D1699" s="42">
        <f>COUNTIFS(DATA!$BD$3:$BD$7183,2,DATA!$D$3:$D$7183,280)</f>
        <v>7</v>
      </c>
      <c r="E1699" s="35">
        <f>+D1699/D1702</f>
        <v>7.2164948453608241E-2</v>
      </c>
      <c r="F1699" s="31">
        <f t="shared" ref="F1699:F1701" si="156">+D1699+B1699</f>
        <v>10</v>
      </c>
      <c r="G1699" s="35">
        <f>+F1699/F1702</f>
        <v>3.0674846625766871E-2</v>
      </c>
      <c r="H1699" s="181">
        <v>2.4154589371980676E-2</v>
      </c>
      <c r="I1699" s="180">
        <v>8.6956521739130432E-2</v>
      </c>
      <c r="J1699" s="182">
        <v>4.3478260869565216E-2</v>
      </c>
      <c r="K1699" s="181">
        <v>1.2048192771084338E-2</v>
      </c>
      <c r="L1699" s="180">
        <v>5.8394160583941604E-2</v>
      </c>
      <c r="M1699" s="182">
        <v>2.8497409326424871E-2</v>
      </c>
      <c r="N1699" s="181">
        <v>1.6949152542372881E-2</v>
      </c>
      <c r="O1699" s="180">
        <v>8.7499999999999994E-2</v>
      </c>
      <c r="P1699" s="182">
        <v>3.8910505836575876E-2</v>
      </c>
      <c r="Q1699" s="181">
        <v>0.04</v>
      </c>
      <c r="R1699" s="180">
        <v>7.0000000000000007E-2</v>
      </c>
      <c r="S1699" s="182">
        <v>0.05</v>
      </c>
      <c r="T1699" s="181">
        <v>3.0405405405405407E-2</v>
      </c>
      <c r="U1699" s="180">
        <v>9.815950920245399E-2</v>
      </c>
      <c r="V1699" s="182">
        <v>5.4466230936819175E-2</v>
      </c>
      <c r="W1699" s="181">
        <v>2.932551319648094E-2</v>
      </c>
      <c r="X1699" s="180">
        <v>7.6388888888888895E-2</v>
      </c>
      <c r="Y1699" s="182">
        <v>4.3298969072164947E-2</v>
      </c>
      <c r="Z1699" s="181">
        <v>0</v>
      </c>
      <c r="AA1699" s="180">
        <v>0.41176470588235292</v>
      </c>
      <c r="AB1699" s="182">
        <v>0.31818181818181818</v>
      </c>
    </row>
    <row r="1700" spans="1:32" s="41" customFormat="1" ht="27.75" customHeight="1" x14ac:dyDescent="0.2">
      <c r="A1700" s="92" t="s">
        <v>94</v>
      </c>
      <c r="B1700" s="31">
        <f>COUNTIFS(DATA!$BD$3:$BD$7183,"3",DATA!$D$3:$D$7183,260)</f>
        <v>8</v>
      </c>
      <c r="C1700" s="35">
        <f>IF(B1702=0,0,+B1700/B1702)</f>
        <v>3.4934497816593885E-2</v>
      </c>
      <c r="D1700" s="42">
        <f>COUNTIFS(DATA!$BD$3:$BD$7183,"3",DATA!$D$3:$D$7183,280)</f>
        <v>7</v>
      </c>
      <c r="E1700" s="35">
        <f>+D1700/D1702</f>
        <v>7.2164948453608241E-2</v>
      </c>
      <c r="F1700" s="31">
        <f t="shared" si="156"/>
        <v>15</v>
      </c>
      <c r="G1700" s="35">
        <f>+F1700/F1702</f>
        <v>4.6012269938650305E-2</v>
      </c>
      <c r="H1700" s="181">
        <v>2.8985507246376812E-2</v>
      </c>
      <c r="I1700" s="180">
        <v>7.6086956521739135E-2</v>
      </c>
      <c r="J1700" s="182">
        <v>4.3478260869565216E-2</v>
      </c>
      <c r="K1700" s="181">
        <v>4.0160642570281124E-2</v>
      </c>
      <c r="L1700" s="180">
        <v>7.2992700729927001E-2</v>
      </c>
      <c r="M1700" s="182">
        <v>5.181347150259067E-2</v>
      </c>
      <c r="N1700" s="181">
        <v>4.8022598870056499E-2</v>
      </c>
      <c r="O1700" s="180">
        <v>8.7499999999999994E-2</v>
      </c>
      <c r="P1700" s="182">
        <v>6.0311284046692608E-2</v>
      </c>
      <c r="Q1700" s="181">
        <v>0.17</v>
      </c>
      <c r="R1700" s="180">
        <v>0.17</v>
      </c>
      <c r="S1700" s="182">
        <v>0.17</v>
      </c>
      <c r="T1700" s="181">
        <v>5.0675675675675678E-2</v>
      </c>
      <c r="U1700" s="180">
        <v>6.7484662576687116E-2</v>
      </c>
      <c r="V1700" s="182">
        <v>5.6644880174291937E-2</v>
      </c>
      <c r="W1700" s="181">
        <v>2.3460410557184751E-2</v>
      </c>
      <c r="X1700" s="180">
        <v>2.0833333333333332E-2</v>
      </c>
      <c r="Y1700" s="182">
        <v>2.268041237113402E-2</v>
      </c>
      <c r="Z1700" s="181">
        <v>0.18181818181818182</v>
      </c>
      <c r="AA1700" s="180">
        <v>0.17647058823529413</v>
      </c>
      <c r="AB1700" s="182">
        <v>0.22727272727272727</v>
      </c>
    </row>
    <row r="1701" spans="1:32" s="41" customFormat="1" ht="15" thickBot="1" x14ac:dyDescent="0.25">
      <c r="A1701" s="93" t="s">
        <v>39</v>
      </c>
      <c r="B1701" s="31">
        <f>COUNTIFS(DATA!$BD$3:$BD$7183,"4",DATA!$D$3:$D$7183,260)</f>
        <v>25</v>
      </c>
      <c r="C1701" s="35">
        <f>IF(B1702=0,0,+B1701/B1702)</f>
        <v>0.1091703056768559</v>
      </c>
      <c r="D1701" s="42">
        <f>COUNTIFS(DATA!$BD$3:$BD$7183,"4",DATA!$D$3:$D$7183,280)</f>
        <v>11</v>
      </c>
      <c r="E1701" s="35">
        <f>+D1701/D1702</f>
        <v>0.1134020618556701</v>
      </c>
      <c r="F1701" s="31">
        <f t="shared" si="156"/>
        <v>36</v>
      </c>
      <c r="G1701" s="35">
        <f>+F1701/F1702</f>
        <v>0.11042944785276074</v>
      </c>
      <c r="H1701" s="181">
        <v>0.10628019323671498</v>
      </c>
      <c r="I1701" s="180">
        <v>0.16304347826086957</v>
      </c>
      <c r="J1701" s="182">
        <v>0.12374581939799331</v>
      </c>
      <c r="K1701" s="181">
        <v>9.6385542168674704E-2</v>
      </c>
      <c r="L1701" s="180">
        <v>8.7591240875912413E-2</v>
      </c>
      <c r="M1701" s="182">
        <v>9.3264248704663211E-2</v>
      </c>
      <c r="N1701" s="181">
        <v>0.10734463276836158</v>
      </c>
      <c r="O1701" s="180">
        <v>0.11874999999999999</v>
      </c>
      <c r="P1701" s="182">
        <v>0.11089494163424124</v>
      </c>
      <c r="Q1701" s="181">
        <v>0.08</v>
      </c>
      <c r="R1701" s="180">
        <v>0.14000000000000001</v>
      </c>
      <c r="S1701" s="182">
        <v>0.1</v>
      </c>
      <c r="T1701" s="181">
        <v>9.45945945945946E-2</v>
      </c>
      <c r="U1701" s="180">
        <v>0.15337423312883436</v>
      </c>
      <c r="V1701" s="182">
        <v>0.11546840958605664</v>
      </c>
      <c r="W1701" s="181">
        <v>0.11730205278592376</v>
      </c>
      <c r="X1701" s="180">
        <v>0.10416666666666667</v>
      </c>
      <c r="Y1701" s="182">
        <v>0.1134020618556701</v>
      </c>
      <c r="Z1701" s="181">
        <v>0.27272727272727271</v>
      </c>
      <c r="AA1701" s="180">
        <v>0</v>
      </c>
      <c r="AB1701" s="182">
        <v>0.13636363636363635</v>
      </c>
    </row>
    <row r="1702" spans="1:32" s="41" customFormat="1" ht="15.75" thickBot="1" x14ac:dyDescent="0.3">
      <c r="A1702" s="111" t="s">
        <v>16</v>
      </c>
      <c r="B1702" s="101">
        <f>SUM(B1698:B1701)</f>
        <v>229</v>
      </c>
      <c r="C1702" s="114">
        <f>IF(B1702=0,0,+B1702/B1702)</f>
        <v>1</v>
      </c>
      <c r="D1702" s="101">
        <f>SUM(D1698:D1701)</f>
        <v>97</v>
      </c>
      <c r="E1702" s="114">
        <f>+D1702/D1702</f>
        <v>1</v>
      </c>
      <c r="F1702" s="101">
        <f>+D1702+B1702</f>
        <v>326</v>
      </c>
      <c r="G1702" s="114">
        <f>+F1702/F1702</f>
        <v>1</v>
      </c>
      <c r="H1702" s="183">
        <v>1</v>
      </c>
      <c r="I1702" s="184">
        <v>1</v>
      </c>
      <c r="J1702" s="185">
        <v>1</v>
      </c>
      <c r="K1702" s="183">
        <v>1</v>
      </c>
      <c r="L1702" s="184">
        <v>1</v>
      </c>
      <c r="M1702" s="185">
        <v>1</v>
      </c>
      <c r="N1702" s="183">
        <v>1</v>
      </c>
      <c r="O1702" s="184">
        <v>1</v>
      </c>
      <c r="P1702" s="185">
        <v>1</v>
      </c>
      <c r="Q1702" s="183">
        <v>1</v>
      </c>
      <c r="R1702" s="184">
        <v>1</v>
      </c>
      <c r="S1702" s="185">
        <v>1</v>
      </c>
      <c r="T1702" s="183">
        <v>1</v>
      </c>
      <c r="U1702" s="184">
        <v>1</v>
      </c>
      <c r="V1702" s="185">
        <v>1</v>
      </c>
      <c r="W1702" s="183">
        <v>1</v>
      </c>
      <c r="X1702" s="184">
        <v>1</v>
      </c>
      <c r="Y1702" s="185">
        <v>1</v>
      </c>
      <c r="Z1702" s="183">
        <v>1</v>
      </c>
      <c r="AA1702" s="184">
        <v>1</v>
      </c>
      <c r="AB1702" s="185">
        <v>1</v>
      </c>
      <c r="AF1702" s="162"/>
    </row>
    <row r="1703" spans="1:32" s="41" customFormat="1" x14ac:dyDescent="0.2">
      <c r="N1703" s="162"/>
    </row>
    <row r="1704" spans="1:32" s="41" customFormat="1" x14ac:dyDescent="0.2">
      <c r="K1704" s="212" t="s">
        <v>142</v>
      </c>
      <c r="L1704" s="213"/>
      <c r="M1704" s="213"/>
      <c r="N1704" s="213"/>
      <c r="O1704" s="213"/>
      <c r="P1704" s="213"/>
      <c r="Q1704" s="213"/>
      <c r="R1704" s="213"/>
    </row>
    <row r="1705" spans="1:32" s="41" customFormat="1" x14ac:dyDescent="0.2">
      <c r="N1705" s="162"/>
    </row>
    <row r="1706" spans="1:32" s="41" customFormat="1" ht="14.25" customHeight="1" x14ac:dyDescent="0.2">
      <c r="K1706" s="219" t="s">
        <v>7234</v>
      </c>
      <c r="L1706" s="219"/>
      <c r="M1706" s="219"/>
      <c r="N1706" s="219"/>
      <c r="O1706" s="219"/>
      <c r="P1706" s="219"/>
      <c r="Q1706" s="219"/>
      <c r="R1706" s="219"/>
    </row>
    <row r="1707" spans="1:32" s="41" customFormat="1" x14ac:dyDescent="0.2">
      <c r="K1707" s="219"/>
      <c r="L1707" s="219"/>
      <c r="M1707" s="219"/>
      <c r="N1707" s="219"/>
      <c r="O1707" s="219"/>
      <c r="P1707" s="219"/>
      <c r="Q1707" s="219"/>
      <c r="R1707" s="219"/>
    </row>
    <row r="1708" spans="1:32" s="41" customFormat="1" ht="14.25" customHeight="1" x14ac:dyDescent="0.2">
      <c r="K1708" s="219" t="s">
        <v>7235</v>
      </c>
      <c r="L1708" s="219"/>
      <c r="M1708" s="219"/>
      <c r="N1708" s="219"/>
      <c r="O1708" s="219"/>
      <c r="P1708" s="219"/>
      <c r="Q1708" s="219"/>
      <c r="R1708" s="219"/>
    </row>
    <row r="1709" spans="1:32" s="41" customFormat="1" x14ac:dyDescent="0.2">
      <c r="K1709" s="219"/>
      <c r="L1709" s="219"/>
      <c r="M1709" s="219"/>
      <c r="N1709" s="219"/>
      <c r="O1709" s="219"/>
      <c r="P1709" s="219"/>
      <c r="Q1709" s="219"/>
      <c r="R1709" s="219"/>
    </row>
    <row r="1710" spans="1:32" s="41" customFormat="1" ht="14.25" customHeight="1" x14ac:dyDescent="0.2">
      <c r="K1710" s="215" t="s">
        <v>7236</v>
      </c>
      <c r="L1710" s="215"/>
      <c r="M1710" s="215"/>
      <c r="N1710" s="215"/>
      <c r="O1710" s="215"/>
      <c r="P1710" s="215"/>
      <c r="Q1710" s="215"/>
      <c r="R1710" s="215"/>
    </row>
    <row r="1711" spans="1:32" s="41" customFormat="1" x14ac:dyDescent="0.2">
      <c r="K1711" s="215"/>
      <c r="L1711" s="215"/>
      <c r="M1711" s="215"/>
      <c r="N1711" s="215"/>
      <c r="O1711" s="215"/>
      <c r="P1711" s="215"/>
      <c r="Q1711" s="215"/>
      <c r="R1711" s="215"/>
    </row>
    <row r="1712" spans="1:32" s="41" customFormat="1" ht="14.25" customHeight="1" x14ac:dyDescent="0.2">
      <c r="K1712" s="215" t="s">
        <v>7237</v>
      </c>
      <c r="L1712" s="215"/>
      <c r="M1712" s="215"/>
      <c r="N1712" s="215"/>
      <c r="O1712" s="215"/>
      <c r="P1712" s="215"/>
      <c r="Q1712" s="215"/>
      <c r="R1712" s="215"/>
    </row>
    <row r="1713" spans="11:18" s="41" customFormat="1" x14ac:dyDescent="0.2">
      <c r="K1713" s="215"/>
      <c r="L1713" s="215"/>
      <c r="M1713" s="215"/>
      <c r="N1713" s="215"/>
      <c r="O1713" s="215"/>
      <c r="P1713" s="215"/>
      <c r="Q1713" s="215"/>
      <c r="R1713" s="215"/>
    </row>
    <row r="1714" spans="11:18" s="41" customFormat="1" x14ac:dyDescent="0.2">
      <c r="N1714" s="162"/>
    </row>
    <row r="1715" spans="11:18" s="41" customFormat="1" x14ac:dyDescent="0.2"/>
    <row r="1716" spans="11:18" s="41" customFormat="1" x14ac:dyDescent="0.2"/>
    <row r="1717" spans="11:18" s="41" customFormat="1" x14ac:dyDescent="0.2">
      <c r="N1717" s="162"/>
    </row>
    <row r="1718" spans="11:18" s="41" customFormat="1" x14ac:dyDescent="0.2">
      <c r="N1718" s="162"/>
    </row>
    <row r="1719" spans="11:18" s="41" customFormat="1" x14ac:dyDescent="0.2">
      <c r="N1719" s="162"/>
    </row>
    <row r="1720" spans="11:18" s="41" customFormat="1" x14ac:dyDescent="0.2">
      <c r="N1720" s="162"/>
    </row>
    <row r="1721" spans="11:18" s="41" customFormat="1" x14ac:dyDescent="0.2">
      <c r="N1721" s="162"/>
    </row>
    <row r="1722" spans="11:18" s="41" customFormat="1" x14ac:dyDescent="0.2">
      <c r="N1722" s="162"/>
    </row>
    <row r="1723" spans="11:18" s="41" customFormat="1" x14ac:dyDescent="0.2">
      <c r="N1723" s="162"/>
    </row>
    <row r="1724" spans="11:18" s="41" customFormat="1" x14ac:dyDescent="0.2">
      <c r="N1724" s="162"/>
    </row>
    <row r="1725" spans="11:18" s="41" customFormat="1" x14ac:dyDescent="0.2">
      <c r="N1725" s="162"/>
    </row>
    <row r="1726" spans="11:18" s="41" customFormat="1" x14ac:dyDescent="0.2">
      <c r="N1726" s="162"/>
    </row>
    <row r="1727" spans="11:18" s="41" customFormat="1" x14ac:dyDescent="0.2">
      <c r="N1727" s="162"/>
    </row>
    <row r="1728" spans="11:18" s="41" customFormat="1" x14ac:dyDescent="0.2">
      <c r="N1728" s="162"/>
    </row>
    <row r="1729" spans="1:32" s="41" customFormat="1" ht="15" thickBot="1" x14ac:dyDescent="0.25">
      <c r="N1729" s="162"/>
    </row>
    <row r="1730" spans="1:32" s="41" customFormat="1" ht="42" customHeight="1" thickBot="1" x14ac:dyDescent="0.25">
      <c r="A1730" s="240" t="s">
        <v>173</v>
      </c>
      <c r="B1730" s="241"/>
      <c r="C1730" s="241"/>
      <c r="D1730" s="241"/>
      <c r="E1730" s="241"/>
      <c r="F1730" s="241"/>
      <c r="G1730" s="242"/>
      <c r="H1730" s="74"/>
      <c r="I1730" s="74"/>
      <c r="J1730" s="74"/>
      <c r="K1730" s="74"/>
      <c r="N1730" s="162"/>
    </row>
    <row r="1731" spans="1:32" s="41" customFormat="1" ht="15.75" thickBot="1" x14ac:dyDescent="0.3">
      <c r="A1731" s="28"/>
      <c r="B1731" s="234" t="str">
        <f>+B73</f>
        <v>Successful</v>
      </c>
      <c r="C1731" s="235"/>
      <c r="D1731" s="236" t="str">
        <f>+D73</f>
        <v>Unsuccessful</v>
      </c>
      <c r="E1731" s="237"/>
      <c r="F1731" s="238" t="s">
        <v>16</v>
      </c>
      <c r="G1731" s="239"/>
      <c r="H1731" s="206">
        <f>+H73</f>
        <v>2021</v>
      </c>
      <c r="I1731" s="207"/>
      <c r="J1731" s="208"/>
      <c r="K1731" s="206">
        <f>+K73</f>
        <v>2020</v>
      </c>
      <c r="L1731" s="207"/>
      <c r="M1731" s="208"/>
      <c r="N1731" s="206">
        <f>+N73</f>
        <v>2019</v>
      </c>
      <c r="O1731" s="207"/>
      <c r="P1731" s="208"/>
      <c r="Q1731" s="206">
        <f>+Q73</f>
        <v>2018</v>
      </c>
      <c r="R1731" s="207"/>
      <c r="S1731" s="208"/>
      <c r="T1731" s="206">
        <f>+T73</f>
        <v>2017</v>
      </c>
      <c r="U1731" s="207"/>
      <c r="V1731" s="208"/>
      <c r="W1731" s="209">
        <f>+W73</f>
        <v>2016</v>
      </c>
      <c r="X1731" s="210"/>
      <c r="Y1731" s="211"/>
      <c r="Z1731" s="209">
        <f>+Z73</f>
        <v>2015</v>
      </c>
      <c r="AA1731" s="210"/>
      <c r="AB1731" s="211"/>
      <c r="AC1731" s="165"/>
      <c r="AF1731" s="162"/>
    </row>
    <row r="1732" spans="1:32" s="41" customFormat="1" ht="29.25" customHeight="1" thickBot="1" x14ac:dyDescent="0.25">
      <c r="A1732" s="28"/>
      <c r="B1732" s="29" t="s">
        <v>37</v>
      </c>
      <c r="C1732" s="30" t="s">
        <v>38</v>
      </c>
      <c r="D1732" s="29" t="s">
        <v>37</v>
      </c>
      <c r="E1732" s="30" t="s">
        <v>38</v>
      </c>
      <c r="F1732" s="29" t="s">
        <v>37</v>
      </c>
      <c r="G1732" s="30" t="s">
        <v>38</v>
      </c>
      <c r="H1732" s="186" t="s">
        <v>132</v>
      </c>
      <c r="I1732" s="187" t="s">
        <v>133</v>
      </c>
      <c r="J1732" s="44" t="s">
        <v>16</v>
      </c>
      <c r="K1732" s="186" t="s">
        <v>132</v>
      </c>
      <c r="L1732" s="187" t="s">
        <v>133</v>
      </c>
      <c r="M1732" s="44" t="s">
        <v>16</v>
      </c>
      <c r="N1732" s="186" t="s">
        <v>132</v>
      </c>
      <c r="O1732" s="187" t="s">
        <v>133</v>
      </c>
      <c r="P1732" s="44" t="s">
        <v>16</v>
      </c>
      <c r="Q1732" s="186" t="s">
        <v>132</v>
      </c>
      <c r="R1732" s="187" t="s">
        <v>133</v>
      </c>
      <c r="S1732" s="44" t="s">
        <v>16</v>
      </c>
      <c r="T1732" s="186" t="s">
        <v>132</v>
      </c>
      <c r="U1732" s="187" t="s">
        <v>133</v>
      </c>
      <c r="V1732" s="44" t="s">
        <v>16</v>
      </c>
      <c r="W1732" s="186" t="s">
        <v>132</v>
      </c>
      <c r="X1732" s="187" t="s">
        <v>133</v>
      </c>
      <c r="Y1732" s="44" t="s">
        <v>16</v>
      </c>
      <c r="Z1732" s="186" t="s">
        <v>132</v>
      </c>
      <c r="AA1732" s="187" t="s">
        <v>133</v>
      </c>
      <c r="AB1732" s="44" t="s">
        <v>16</v>
      </c>
    </row>
    <row r="1733" spans="1:32" s="41" customFormat="1" x14ac:dyDescent="0.2">
      <c r="A1733" s="98" t="s">
        <v>134</v>
      </c>
      <c r="B1733" s="31">
        <f>COUNTIFS(DATA!$BE$3:$BE$7183,1,DATA!$D$3:$D$7183,260)</f>
        <v>159</v>
      </c>
      <c r="C1733" s="35">
        <f>+B1733/$B$1738</f>
        <v>0.69432314410480345</v>
      </c>
      <c r="D1733" s="31">
        <f>COUNTIFS(DATA!$BE$3:$BE$7183,1,DATA!$D$3:$D$7183,280)</f>
        <v>37</v>
      </c>
      <c r="E1733" s="35">
        <f>+D1733/$D$1738</f>
        <v>0.38144329896907214</v>
      </c>
      <c r="F1733" s="31">
        <f>+D1733+B1733</f>
        <v>196</v>
      </c>
      <c r="G1733" s="35">
        <f>+F1733/$F$1738</f>
        <v>0.60122699386503065</v>
      </c>
      <c r="H1733" s="181">
        <v>0.76328502415458932</v>
      </c>
      <c r="I1733" s="180">
        <v>0.31521739130434784</v>
      </c>
      <c r="J1733" s="182">
        <v>0.62541806020066892</v>
      </c>
      <c r="K1733" s="181">
        <v>0.76305220883534142</v>
      </c>
      <c r="L1733" s="180">
        <v>0.45985401459854014</v>
      </c>
      <c r="M1733" s="182">
        <v>0.65544041450777202</v>
      </c>
      <c r="N1733" s="181">
        <v>0.74011299435028244</v>
      </c>
      <c r="O1733" s="180">
        <v>0.32500000000000001</v>
      </c>
      <c r="P1733" s="182">
        <v>0.6108949416342413</v>
      </c>
      <c r="Q1733" s="181">
        <v>0.71</v>
      </c>
      <c r="R1733" s="180">
        <v>0.42</v>
      </c>
      <c r="S1733" s="182">
        <v>0.62</v>
      </c>
      <c r="T1733" s="181">
        <v>0.68013468013468015</v>
      </c>
      <c r="U1733" s="180">
        <v>0.51533742331288346</v>
      </c>
      <c r="V1733" s="182">
        <v>0.62173913043478257</v>
      </c>
      <c r="W1733" s="181">
        <v>0.6862170087976539</v>
      </c>
      <c r="X1733" s="180">
        <v>0.40972222222222221</v>
      </c>
      <c r="Y1733" s="182">
        <v>0.60412371134020615</v>
      </c>
      <c r="Z1733" s="181">
        <v>0.7100591715976331</v>
      </c>
      <c r="AA1733" s="180">
        <v>0.37383177570093457</v>
      </c>
      <c r="AB1733" s="182">
        <v>0.62877030162412995</v>
      </c>
    </row>
    <row r="1734" spans="1:32" s="41" customFormat="1" ht="14.25" customHeight="1" x14ac:dyDescent="0.2">
      <c r="A1734" s="92" t="s">
        <v>89</v>
      </c>
      <c r="B1734" s="31">
        <f>COUNTIFS(DATA!$BE$3:$BE$7183,2,DATA!$D$3:$D$7183,260)</f>
        <v>34</v>
      </c>
      <c r="C1734" s="35">
        <f t="shared" ref="C1734:C1736" si="157">+B1734/$B$1738</f>
        <v>0.14847161572052403</v>
      </c>
      <c r="D1734" s="42">
        <f>COUNTIFS(DATA!$BE$3:$BE$7183,2,DATA!$D$3:$D$7183,280)</f>
        <v>22</v>
      </c>
      <c r="E1734" s="35">
        <f t="shared" ref="E1734:E1737" si="158">+D1734/$D$1738</f>
        <v>0.22680412371134021</v>
      </c>
      <c r="F1734" s="42">
        <f t="shared" ref="F1734:F1736" si="159">+D1734+B1734</f>
        <v>56</v>
      </c>
      <c r="G1734" s="35">
        <f t="shared" ref="G1734:G1737" si="160">+F1734/$F$1738</f>
        <v>0.17177914110429449</v>
      </c>
      <c r="H1734" s="181">
        <v>0.11594202898550725</v>
      </c>
      <c r="I1734" s="180">
        <v>0.17391304347826086</v>
      </c>
      <c r="J1734" s="182">
        <v>0.13377926421404682</v>
      </c>
      <c r="K1734" s="181">
        <v>0.13253012048192772</v>
      </c>
      <c r="L1734" s="180">
        <v>0.145985401459854</v>
      </c>
      <c r="M1734" s="182">
        <v>0.13730569948186527</v>
      </c>
      <c r="N1734" s="181">
        <v>0.1384180790960452</v>
      </c>
      <c r="O1734" s="180">
        <v>0.18124999999999999</v>
      </c>
      <c r="P1734" s="182">
        <v>0.1517509727626459</v>
      </c>
      <c r="Q1734" s="181">
        <v>0.15</v>
      </c>
      <c r="R1734" s="180">
        <v>0.19</v>
      </c>
      <c r="S1734" s="182">
        <v>0.16</v>
      </c>
      <c r="T1734" s="181">
        <v>0.16498316498316498</v>
      </c>
      <c r="U1734" s="180">
        <v>0.12883435582822086</v>
      </c>
      <c r="V1734" s="182">
        <v>0.15217391304347827</v>
      </c>
      <c r="W1734" s="181">
        <v>0.15542521994134897</v>
      </c>
      <c r="X1734" s="180">
        <v>0.14583333333333334</v>
      </c>
      <c r="Y1734" s="182">
        <v>0.15257731958762888</v>
      </c>
      <c r="Z1734" s="181">
        <v>0.16863905325443787</v>
      </c>
      <c r="AA1734" s="180">
        <v>0.23364485981308411</v>
      </c>
      <c r="AB1734" s="182">
        <v>0.18097447795823665</v>
      </c>
    </row>
    <row r="1735" spans="1:32" s="41" customFormat="1" ht="14.25" customHeight="1" x14ac:dyDescent="0.2">
      <c r="A1735" s="92" t="s">
        <v>90</v>
      </c>
      <c r="B1735" s="31">
        <f>COUNTIFS(DATA!$BE$3:$BE$7183,"3",DATA!$D$3:$D$7183,260)</f>
        <v>8</v>
      </c>
      <c r="C1735" s="35">
        <f t="shared" si="157"/>
        <v>3.4934497816593885E-2</v>
      </c>
      <c r="D1735" s="42">
        <f>COUNTIFS(DATA!$BE$3:$BE$7183,"3",DATA!$D$3:$D$7183,280)</f>
        <v>8</v>
      </c>
      <c r="E1735" s="35">
        <f t="shared" si="158"/>
        <v>8.247422680412371E-2</v>
      </c>
      <c r="F1735" s="42">
        <f t="shared" si="159"/>
        <v>16</v>
      </c>
      <c r="G1735" s="35">
        <f t="shared" si="160"/>
        <v>4.9079754601226995E-2</v>
      </c>
      <c r="H1735" s="181">
        <v>2.4154589371980676E-2</v>
      </c>
      <c r="I1735" s="180">
        <v>6.5217391304347824E-2</v>
      </c>
      <c r="J1735" s="182">
        <v>3.678929765886288E-2</v>
      </c>
      <c r="K1735" s="181">
        <v>1.2048192771084338E-2</v>
      </c>
      <c r="L1735" s="180">
        <v>5.8394160583941604E-2</v>
      </c>
      <c r="M1735" s="182">
        <v>2.8497409326424871E-2</v>
      </c>
      <c r="N1735" s="181">
        <v>1.977401129943503E-2</v>
      </c>
      <c r="O1735" s="180">
        <v>8.7499999999999994E-2</v>
      </c>
      <c r="P1735" s="182">
        <v>4.085603112840467E-2</v>
      </c>
      <c r="Q1735" s="181">
        <v>0.03</v>
      </c>
      <c r="R1735" s="180">
        <v>0.1</v>
      </c>
      <c r="S1735" s="182">
        <v>0.05</v>
      </c>
      <c r="T1735" s="181">
        <v>5.0505050505050504E-2</v>
      </c>
      <c r="U1735" s="180">
        <v>7.3619631901840496E-2</v>
      </c>
      <c r="V1735" s="182">
        <v>5.8695652173913045E-2</v>
      </c>
      <c r="W1735" s="181">
        <v>2.932551319648094E-2</v>
      </c>
      <c r="X1735" s="180">
        <v>9.7222222222222224E-2</v>
      </c>
      <c r="Y1735" s="182">
        <v>4.9484536082474224E-2</v>
      </c>
      <c r="Z1735" s="181">
        <v>3.2544378698224852E-2</v>
      </c>
      <c r="AA1735" s="180">
        <v>0.10280373831775701</v>
      </c>
      <c r="AB1735" s="182">
        <v>4.8723897911832945E-2</v>
      </c>
    </row>
    <row r="1736" spans="1:32" s="41" customFormat="1" x14ac:dyDescent="0.2">
      <c r="A1736" s="82" t="s">
        <v>91</v>
      </c>
      <c r="B1736" s="31">
        <f>COUNTIFS(DATA!$BE$3:$BE$7183,"4",DATA!$D$3:$D$7183,260)</f>
        <v>7</v>
      </c>
      <c r="C1736" s="35">
        <f t="shared" si="157"/>
        <v>3.0567685589519649E-2</v>
      </c>
      <c r="D1736" s="42">
        <f>COUNTIFS(DATA!$BE$3:$BE$7183,"4",DATA!$D$3:$D$7183,280)</f>
        <v>20</v>
      </c>
      <c r="E1736" s="35">
        <f t="shared" si="158"/>
        <v>0.20618556701030927</v>
      </c>
      <c r="F1736" s="42">
        <f t="shared" si="159"/>
        <v>27</v>
      </c>
      <c r="G1736" s="35">
        <f t="shared" si="160"/>
        <v>8.2822085889570546E-2</v>
      </c>
      <c r="H1736" s="181">
        <v>4.3478260869565216E-2</v>
      </c>
      <c r="I1736" s="180">
        <v>0.31521739130434784</v>
      </c>
      <c r="J1736" s="182">
        <v>0.12709030100334448</v>
      </c>
      <c r="K1736" s="181">
        <v>2.8112449799196786E-2</v>
      </c>
      <c r="L1736" s="180">
        <v>0.27007299270072993</v>
      </c>
      <c r="M1736" s="182">
        <v>0.11398963730569948</v>
      </c>
      <c r="N1736" s="181">
        <v>3.1073446327683617E-2</v>
      </c>
      <c r="O1736" s="180">
        <v>0.3125</v>
      </c>
      <c r="P1736" s="182">
        <v>0.11867704280155641</v>
      </c>
      <c r="Q1736" s="181">
        <v>0.06</v>
      </c>
      <c r="R1736" s="180">
        <v>0.2</v>
      </c>
      <c r="S1736" s="182">
        <v>0.1</v>
      </c>
      <c r="T1736" s="181">
        <v>7.0707070707070704E-2</v>
      </c>
      <c r="U1736" s="180">
        <v>0.21472392638036811</v>
      </c>
      <c r="V1736" s="182">
        <v>0.12173913043478261</v>
      </c>
      <c r="W1736" s="181">
        <v>7.331378299120235E-2</v>
      </c>
      <c r="X1736" s="180">
        <v>0.27083333333333331</v>
      </c>
      <c r="Y1736" s="182">
        <v>0.13195876288659794</v>
      </c>
      <c r="Z1736" s="181">
        <v>3.5502958579881658E-2</v>
      </c>
      <c r="AA1736" s="180">
        <v>0.19626168224299065</v>
      </c>
      <c r="AB1736" s="182">
        <v>7.6566125290023199E-2</v>
      </c>
    </row>
    <row r="1737" spans="1:32" s="41" customFormat="1" ht="15" customHeight="1" thickBot="1" x14ac:dyDescent="0.25">
      <c r="A1737" s="93" t="s">
        <v>39</v>
      </c>
      <c r="B1737" s="31">
        <f>COUNTIFS(DATA!$BE$3:$BE$7183,"5",DATA!$D$3:$D$7183,260)</f>
        <v>21</v>
      </c>
      <c r="C1737" s="35">
        <f>+B1737/$B$1738</f>
        <v>9.1703056768558958E-2</v>
      </c>
      <c r="D1737" s="42">
        <f>COUNTIFS(DATA!$BE$3:$BE$7183,"5",DATA!$D$3:$D$7183,280)</f>
        <v>10</v>
      </c>
      <c r="E1737" s="35">
        <f t="shared" si="158"/>
        <v>0.10309278350515463</v>
      </c>
      <c r="F1737" s="42">
        <f t="shared" ref="F1737" si="161">+D1737+B1737</f>
        <v>31</v>
      </c>
      <c r="G1737" s="35">
        <f t="shared" si="160"/>
        <v>9.5092024539877307E-2</v>
      </c>
      <c r="H1737" s="181">
        <v>5.3140096618357488E-2</v>
      </c>
      <c r="I1737" s="180">
        <v>0.13043478260869565</v>
      </c>
      <c r="J1737" s="182">
        <v>7.6923076923076927E-2</v>
      </c>
      <c r="K1737" s="181">
        <v>6.4257028112449793E-2</v>
      </c>
      <c r="L1737" s="180">
        <v>6.569343065693431E-2</v>
      </c>
      <c r="M1737" s="182">
        <v>6.4766839378238336E-2</v>
      </c>
      <c r="N1737" s="181">
        <v>7.0621468926553674E-2</v>
      </c>
      <c r="O1737" s="180">
        <v>9.375E-2</v>
      </c>
      <c r="P1737" s="182">
        <v>7.7821011673151752E-2</v>
      </c>
      <c r="Q1737" s="181">
        <v>0.05</v>
      </c>
      <c r="R1737" s="180">
        <v>0.09</v>
      </c>
      <c r="S1737" s="182">
        <v>0.06</v>
      </c>
      <c r="T1737" s="181">
        <v>3.3670033670033669E-2</v>
      </c>
      <c r="U1737" s="180">
        <v>6.7484662576687116E-2</v>
      </c>
      <c r="V1737" s="182">
        <v>4.5652173913043478E-2</v>
      </c>
      <c r="W1737" s="181">
        <v>5.5718475073313782E-2</v>
      </c>
      <c r="X1737" s="180">
        <v>7.6388888888888895E-2</v>
      </c>
      <c r="Y1737" s="182">
        <v>6.1855670103092786E-2</v>
      </c>
      <c r="Z1737" s="181">
        <v>5.3254437869822487E-2</v>
      </c>
      <c r="AA1737" s="180">
        <v>0.1</v>
      </c>
      <c r="AB1737" s="182">
        <v>6.4965197215777259E-2</v>
      </c>
    </row>
    <row r="1738" spans="1:32" s="41" customFormat="1" ht="15.75" customHeight="1" thickBot="1" x14ac:dyDescent="0.3">
      <c r="A1738" s="111" t="s">
        <v>16</v>
      </c>
      <c r="B1738" s="101">
        <f>SUM(B1733:B1737)</f>
        <v>229</v>
      </c>
      <c r="C1738" s="114">
        <f>+B1738/$B$1738</f>
        <v>1</v>
      </c>
      <c r="D1738" s="101">
        <f>SUM(D1733:D1737)</f>
        <v>97</v>
      </c>
      <c r="E1738" s="114">
        <f>+D1738/$D$1738</f>
        <v>1</v>
      </c>
      <c r="F1738" s="101">
        <f>SUM(F1733:F1737)</f>
        <v>326</v>
      </c>
      <c r="G1738" s="114">
        <f>+F1738/$F$1738</f>
        <v>1</v>
      </c>
      <c r="H1738" s="183">
        <v>1</v>
      </c>
      <c r="I1738" s="184">
        <v>1</v>
      </c>
      <c r="J1738" s="185">
        <v>1</v>
      </c>
      <c r="K1738" s="183">
        <v>1</v>
      </c>
      <c r="L1738" s="184">
        <v>1</v>
      </c>
      <c r="M1738" s="185">
        <v>1</v>
      </c>
      <c r="N1738" s="183">
        <v>1</v>
      </c>
      <c r="O1738" s="184">
        <v>1</v>
      </c>
      <c r="P1738" s="185">
        <v>1</v>
      </c>
      <c r="Q1738" s="183">
        <v>1</v>
      </c>
      <c r="R1738" s="184">
        <v>1</v>
      </c>
      <c r="S1738" s="185">
        <v>1</v>
      </c>
      <c r="T1738" s="183">
        <v>1</v>
      </c>
      <c r="U1738" s="184">
        <v>1</v>
      </c>
      <c r="V1738" s="185">
        <v>1</v>
      </c>
      <c r="W1738" s="183">
        <v>1</v>
      </c>
      <c r="X1738" s="184">
        <v>1</v>
      </c>
      <c r="Y1738" s="185">
        <v>1</v>
      </c>
      <c r="Z1738" s="183">
        <v>1</v>
      </c>
      <c r="AA1738" s="184">
        <v>1</v>
      </c>
      <c r="AB1738" s="185">
        <v>1</v>
      </c>
      <c r="AF1738" s="162"/>
    </row>
    <row r="1739" spans="1:32" s="41" customFormat="1" x14ac:dyDescent="0.2">
      <c r="N1739" s="162"/>
    </row>
    <row r="1740" spans="1:32" s="41" customFormat="1" x14ac:dyDescent="0.2">
      <c r="K1740" s="220" t="s">
        <v>7242</v>
      </c>
      <c r="L1740" s="218"/>
      <c r="M1740" s="218"/>
      <c r="N1740" s="218"/>
      <c r="O1740" s="218"/>
      <c r="P1740" s="218"/>
      <c r="Q1740" s="218"/>
      <c r="R1740" s="218"/>
    </row>
    <row r="1741" spans="1:32" s="41" customFormat="1" x14ac:dyDescent="0.2">
      <c r="K1741" s="157"/>
      <c r="L1741" s="157"/>
      <c r="M1741" s="157"/>
      <c r="N1741" s="163"/>
      <c r="O1741" s="156"/>
      <c r="P1741" s="155"/>
      <c r="Q1741" s="155"/>
      <c r="R1741" s="155"/>
    </row>
    <row r="1742" spans="1:32" s="41" customFormat="1" x14ac:dyDescent="0.2">
      <c r="K1742" s="221" t="s">
        <v>7238</v>
      </c>
      <c r="L1742" s="219"/>
      <c r="M1742" s="219"/>
      <c r="N1742" s="219"/>
      <c r="O1742" s="219"/>
      <c r="P1742" s="219"/>
      <c r="Q1742" s="219"/>
      <c r="R1742" s="219"/>
    </row>
    <row r="1743" spans="1:32" s="41" customFormat="1" x14ac:dyDescent="0.2">
      <c r="K1743" s="221" t="s">
        <v>7239</v>
      </c>
      <c r="L1743" s="219"/>
      <c r="M1743" s="219"/>
      <c r="N1743" s="219"/>
      <c r="O1743" s="219"/>
      <c r="P1743" s="219"/>
      <c r="Q1743" s="219"/>
      <c r="R1743" s="219"/>
    </row>
    <row r="1744" spans="1:32" s="41" customFormat="1" x14ac:dyDescent="0.2">
      <c r="K1744" s="214" t="s">
        <v>7240</v>
      </c>
      <c r="L1744" s="215"/>
      <c r="M1744" s="215"/>
      <c r="N1744" s="215"/>
      <c r="O1744" s="215"/>
      <c r="P1744" s="215"/>
      <c r="Q1744" s="215"/>
      <c r="R1744" s="215"/>
    </row>
    <row r="1745" spans="11:18" s="41" customFormat="1" x14ac:dyDescent="0.2">
      <c r="K1745" s="214" t="s">
        <v>7241</v>
      </c>
      <c r="L1745" s="215"/>
      <c r="M1745" s="215"/>
      <c r="N1745" s="215"/>
      <c r="O1745" s="215"/>
      <c r="P1745" s="215"/>
      <c r="Q1745" s="215"/>
      <c r="R1745" s="215"/>
    </row>
    <row r="1746" spans="11:18" s="41" customFormat="1" x14ac:dyDescent="0.2">
      <c r="N1746" s="162"/>
    </row>
    <row r="1747" spans="11:18" s="41" customFormat="1" x14ac:dyDescent="0.2"/>
    <row r="1748" spans="11:18" s="41" customFormat="1" x14ac:dyDescent="0.2">
      <c r="N1748" s="162"/>
    </row>
    <row r="1749" spans="11:18" s="41" customFormat="1" x14ac:dyDescent="0.2">
      <c r="N1749" s="162"/>
    </row>
    <row r="1750" spans="11:18" s="41" customFormat="1" x14ac:dyDescent="0.2">
      <c r="N1750" s="162"/>
    </row>
    <row r="1751" spans="11:18" s="41" customFormat="1" x14ac:dyDescent="0.2">
      <c r="N1751" s="162"/>
    </row>
    <row r="1752" spans="11:18" s="41" customFormat="1" x14ac:dyDescent="0.2">
      <c r="N1752" s="162"/>
    </row>
    <row r="1753" spans="11:18" s="41" customFormat="1" x14ac:dyDescent="0.2">
      <c r="N1753" s="162"/>
    </row>
    <row r="1754" spans="11:18" s="41" customFormat="1" x14ac:dyDescent="0.2">
      <c r="N1754" s="162"/>
    </row>
    <row r="1755" spans="11:18" s="41" customFormat="1" x14ac:dyDescent="0.2">
      <c r="N1755" s="162"/>
    </row>
    <row r="1756" spans="11:18" s="41" customFormat="1" x14ac:dyDescent="0.2">
      <c r="N1756" s="162"/>
    </row>
    <row r="1757" spans="11:18" s="41" customFormat="1" x14ac:dyDescent="0.2">
      <c r="N1757" s="162"/>
    </row>
    <row r="1758" spans="11:18" s="41" customFormat="1" x14ac:dyDescent="0.2">
      <c r="N1758" s="162"/>
    </row>
    <row r="1759" spans="11:18" s="41" customFormat="1" x14ac:dyDescent="0.2">
      <c r="N1759" s="162"/>
    </row>
    <row r="1760" spans="11:18" s="41" customFormat="1" x14ac:dyDescent="0.2">
      <c r="N1760" s="162"/>
    </row>
    <row r="1761" spans="1:32" s="41" customFormat="1" x14ac:dyDescent="0.2">
      <c r="N1761" s="162"/>
    </row>
    <row r="1762" spans="1:32" s="41" customFormat="1" x14ac:dyDescent="0.2">
      <c r="N1762" s="162"/>
    </row>
    <row r="1763" spans="1:32" s="41" customFormat="1" x14ac:dyDescent="0.2">
      <c r="N1763" s="162"/>
    </row>
    <row r="1764" spans="1:32" s="41" customFormat="1" x14ac:dyDescent="0.2">
      <c r="N1764" s="162"/>
    </row>
    <row r="1765" spans="1:32" s="41" customFormat="1" ht="15" thickBot="1" x14ac:dyDescent="0.25">
      <c r="N1765" s="162"/>
    </row>
    <row r="1766" spans="1:32" s="41" customFormat="1" ht="42" customHeight="1" thickBot="1" x14ac:dyDescent="0.25">
      <c r="A1766" s="240" t="s">
        <v>174</v>
      </c>
      <c r="B1766" s="241"/>
      <c r="C1766" s="241"/>
      <c r="D1766" s="241"/>
      <c r="E1766" s="241"/>
      <c r="F1766" s="241"/>
      <c r="G1766" s="242"/>
      <c r="H1766" s="74"/>
      <c r="I1766" s="74"/>
      <c r="J1766" s="74"/>
      <c r="K1766" s="74"/>
      <c r="N1766" s="162"/>
    </row>
    <row r="1767" spans="1:32" s="41" customFormat="1" ht="15.75" thickBot="1" x14ac:dyDescent="0.3">
      <c r="A1767" s="28"/>
      <c r="B1767" s="234" t="str">
        <f>+B73</f>
        <v>Successful</v>
      </c>
      <c r="C1767" s="235"/>
      <c r="D1767" s="236" t="str">
        <f>+D73</f>
        <v>Unsuccessful</v>
      </c>
      <c r="E1767" s="237"/>
      <c r="F1767" s="238" t="s">
        <v>16</v>
      </c>
      <c r="G1767" s="239"/>
      <c r="H1767" s="206">
        <f>+H73</f>
        <v>2021</v>
      </c>
      <c r="I1767" s="207"/>
      <c r="J1767" s="208"/>
      <c r="K1767" s="206">
        <f>+K73</f>
        <v>2020</v>
      </c>
      <c r="L1767" s="207"/>
      <c r="M1767" s="208"/>
      <c r="N1767" s="206">
        <f>+N73</f>
        <v>2019</v>
      </c>
      <c r="O1767" s="207"/>
      <c r="P1767" s="208"/>
      <c r="Q1767" s="206">
        <f>+Q73</f>
        <v>2018</v>
      </c>
      <c r="R1767" s="207"/>
      <c r="S1767" s="208"/>
      <c r="T1767" s="206">
        <f>+T73</f>
        <v>2017</v>
      </c>
      <c r="U1767" s="207"/>
      <c r="V1767" s="208"/>
      <c r="W1767" s="209">
        <f>+W73</f>
        <v>2016</v>
      </c>
      <c r="X1767" s="210"/>
      <c r="Y1767" s="211"/>
      <c r="Z1767" s="209">
        <f>+Z73</f>
        <v>2015</v>
      </c>
      <c r="AA1767" s="210"/>
      <c r="AB1767" s="211"/>
      <c r="AC1767" s="165"/>
      <c r="AF1767" s="162"/>
    </row>
    <row r="1768" spans="1:32" s="41" customFormat="1" ht="29.25" customHeight="1" thickBot="1" x14ac:dyDescent="0.25">
      <c r="A1768" s="28"/>
      <c r="B1768" s="29" t="s">
        <v>37</v>
      </c>
      <c r="C1768" s="30" t="s">
        <v>38</v>
      </c>
      <c r="D1768" s="29" t="s">
        <v>37</v>
      </c>
      <c r="E1768" s="30" t="s">
        <v>38</v>
      </c>
      <c r="F1768" s="29" t="s">
        <v>37</v>
      </c>
      <c r="G1768" s="30" t="s">
        <v>38</v>
      </c>
      <c r="H1768" s="186" t="s">
        <v>132</v>
      </c>
      <c r="I1768" s="187" t="s">
        <v>133</v>
      </c>
      <c r="J1768" s="44" t="s">
        <v>16</v>
      </c>
      <c r="K1768" s="186" t="s">
        <v>132</v>
      </c>
      <c r="L1768" s="187" t="s">
        <v>133</v>
      </c>
      <c r="M1768" s="44" t="s">
        <v>16</v>
      </c>
      <c r="N1768" s="186" t="s">
        <v>132</v>
      </c>
      <c r="O1768" s="187" t="s">
        <v>133</v>
      </c>
      <c r="P1768" s="44" t="s">
        <v>16</v>
      </c>
      <c r="Q1768" s="186" t="s">
        <v>132</v>
      </c>
      <c r="R1768" s="187" t="s">
        <v>133</v>
      </c>
      <c r="S1768" s="44" t="s">
        <v>16</v>
      </c>
      <c r="T1768" s="186" t="s">
        <v>132</v>
      </c>
      <c r="U1768" s="187" t="s">
        <v>133</v>
      </c>
      <c r="V1768" s="44" t="s">
        <v>16</v>
      </c>
      <c r="W1768" s="186" t="s">
        <v>132</v>
      </c>
      <c r="X1768" s="187" t="s">
        <v>133</v>
      </c>
      <c r="Y1768" s="44" t="s">
        <v>16</v>
      </c>
      <c r="Z1768" s="186" t="s">
        <v>132</v>
      </c>
      <c r="AA1768" s="187" t="s">
        <v>133</v>
      </c>
      <c r="AB1768" s="44" t="s">
        <v>16</v>
      </c>
    </row>
    <row r="1769" spans="1:32" s="41" customFormat="1" x14ac:dyDescent="0.2">
      <c r="A1769" s="98" t="s">
        <v>134</v>
      </c>
      <c r="B1769" s="31">
        <f>COUNTIFS(DATA!$BF$3:$BF$7183,1,DATA!$D$3:$D$7183,260)</f>
        <v>2</v>
      </c>
      <c r="C1769" s="35">
        <f>IF(B110773=0,0,+B1769/B1773)</f>
        <v>0</v>
      </c>
      <c r="D1769" s="31">
        <f>COUNTIFS(DATA!$BF$3:$BF$7183,1,DATA!$D$3:$D$7183,280)</f>
        <v>2</v>
      </c>
      <c r="E1769" s="35">
        <f>+D1769/D1773</f>
        <v>7.1428571428571425E-2</v>
      </c>
      <c r="F1769" s="31">
        <f>+D1769+B1769</f>
        <v>4</v>
      </c>
      <c r="G1769" s="35">
        <f>+F1769/F1773</f>
        <v>9.3023255813953487E-2</v>
      </c>
      <c r="H1769" s="181">
        <v>0</v>
      </c>
      <c r="I1769" s="180">
        <v>2.8571428571428571E-2</v>
      </c>
      <c r="J1769" s="182">
        <v>4.0816326530612242E-2</v>
      </c>
      <c r="K1769" s="181">
        <v>0</v>
      </c>
      <c r="L1769" s="180">
        <v>8.8888888888888892E-2</v>
      </c>
      <c r="M1769" s="182">
        <v>7.2727272727272724E-2</v>
      </c>
      <c r="N1769" s="181">
        <v>0.16666666666666666</v>
      </c>
      <c r="O1769" s="180">
        <v>9.375E-2</v>
      </c>
      <c r="P1769" s="182">
        <v>0.10975609756097561</v>
      </c>
      <c r="Q1769" s="181">
        <v>0.31</v>
      </c>
      <c r="R1769" s="180">
        <v>0.06</v>
      </c>
      <c r="S1769" s="182">
        <v>0.17</v>
      </c>
      <c r="T1769" s="181">
        <v>0.30555555555555558</v>
      </c>
      <c r="U1769" s="180">
        <v>6.3829787234042548E-2</v>
      </c>
      <c r="V1769" s="182">
        <v>0.16867469879518071</v>
      </c>
      <c r="W1769" s="181">
        <v>0.37142857142857144</v>
      </c>
      <c r="X1769" s="180">
        <v>0.11320754716981132</v>
      </c>
      <c r="Y1769" s="182">
        <v>0.21590909090909091</v>
      </c>
      <c r="Z1769" s="181">
        <v>0.2608695652173913</v>
      </c>
      <c r="AA1769" s="180">
        <v>0.27272727272727271</v>
      </c>
      <c r="AB1769" s="182">
        <v>0.26785714285714285</v>
      </c>
    </row>
    <row r="1770" spans="1:32" s="41" customFormat="1" ht="28.5" customHeight="1" x14ac:dyDescent="0.2">
      <c r="A1770" s="99" t="s">
        <v>135</v>
      </c>
      <c r="B1770" s="31">
        <f>COUNTIFS(DATA!$BF$3:$BF$7183,2,DATA!$D$3:$D$7183,260)</f>
        <v>13</v>
      </c>
      <c r="C1770" s="35">
        <f>IF(B1773=0,0,+B1770/B1773)</f>
        <v>0.8666666666666667</v>
      </c>
      <c r="D1770" s="42">
        <f>COUNTIFS(DATA!$BF$3:$BF$7183,2,DATA!$D$3:$D$7183,280)</f>
        <v>20</v>
      </c>
      <c r="E1770" s="35">
        <f>+D1770/D1773</f>
        <v>0.7142857142857143</v>
      </c>
      <c r="F1770" s="42">
        <f t="shared" ref="F1770:F1772" si="162">+D1770+B1770</f>
        <v>33</v>
      </c>
      <c r="G1770" s="35">
        <f>+F1770/F1773</f>
        <v>0.76744186046511631</v>
      </c>
      <c r="H1770" s="181">
        <v>0.7142857142857143</v>
      </c>
      <c r="I1770" s="180">
        <v>0.68571428571428572</v>
      </c>
      <c r="J1770" s="182">
        <v>0.69387755102040816</v>
      </c>
      <c r="K1770" s="181">
        <v>0.9</v>
      </c>
      <c r="L1770" s="180">
        <v>0.57777777777777772</v>
      </c>
      <c r="M1770" s="182">
        <v>0.63636363636363635</v>
      </c>
      <c r="N1770" s="181">
        <v>0.66666666666666663</v>
      </c>
      <c r="O1770" s="180">
        <v>0.640625</v>
      </c>
      <c r="P1770" s="182">
        <v>0.64634146341463417</v>
      </c>
      <c r="Q1770" s="181">
        <v>0.56000000000000005</v>
      </c>
      <c r="R1770" s="180">
        <v>0.72</v>
      </c>
      <c r="S1770" s="182">
        <v>0.65</v>
      </c>
      <c r="T1770" s="181">
        <v>0.55555555555555558</v>
      </c>
      <c r="U1770" s="180">
        <v>0.72340425531914898</v>
      </c>
      <c r="V1770" s="182">
        <v>0.6506024096385542</v>
      </c>
      <c r="W1770" s="181">
        <v>0.42857142857142855</v>
      </c>
      <c r="X1770" s="180">
        <v>0.67924528301886788</v>
      </c>
      <c r="Y1770" s="182">
        <v>0.57954545454545459</v>
      </c>
      <c r="Z1770" s="181">
        <v>0.47826086956521741</v>
      </c>
      <c r="AA1770" s="180">
        <v>0.5757575757575758</v>
      </c>
      <c r="AB1770" s="182">
        <v>0.5357142857142857</v>
      </c>
    </row>
    <row r="1771" spans="1:32" s="41" customFormat="1" ht="28.5" customHeight="1" x14ac:dyDescent="0.2">
      <c r="A1771" s="92" t="s">
        <v>94</v>
      </c>
      <c r="B1771" s="31">
        <f>COUNTIFS(DATA!$BF$3:$BF$7183,"3",DATA!$D$3:$D$7183,260)</f>
        <v>0</v>
      </c>
      <c r="C1771" s="35">
        <f>IF(B110773=0,0,+B1771/B1773)</f>
        <v>0</v>
      </c>
      <c r="D1771" s="42">
        <f>COUNTIFS(DATA!$BF$3:$BF$7183,"3",DATA!$D$3:$D$7183,280)</f>
        <v>3</v>
      </c>
      <c r="E1771" s="35">
        <f>+D1771/D1773</f>
        <v>0.10714285714285714</v>
      </c>
      <c r="F1771" s="42">
        <f t="shared" si="162"/>
        <v>3</v>
      </c>
      <c r="G1771" s="35">
        <f>+F1771/F1773</f>
        <v>6.9767441860465115E-2</v>
      </c>
      <c r="H1771" s="181">
        <v>0</v>
      </c>
      <c r="I1771" s="180">
        <v>0.22857142857142856</v>
      </c>
      <c r="J1771" s="182">
        <v>0.20408163265306123</v>
      </c>
      <c r="K1771" s="181">
        <v>0</v>
      </c>
      <c r="L1771" s="180">
        <v>0.26666666666666666</v>
      </c>
      <c r="M1771" s="182">
        <v>0.23636363636363636</v>
      </c>
      <c r="N1771" s="181">
        <v>0.1111111111111111</v>
      </c>
      <c r="O1771" s="180">
        <v>0.21875</v>
      </c>
      <c r="P1771" s="182">
        <v>0.1951219512195122</v>
      </c>
      <c r="Q1771" s="181">
        <v>0.14000000000000001</v>
      </c>
      <c r="R1771" s="180">
        <v>0.13</v>
      </c>
      <c r="S1771" s="182">
        <v>0.13</v>
      </c>
      <c r="T1771" s="181">
        <v>0.1388888888888889</v>
      </c>
      <c r="U1771" s="180">
        <v>0.1276595744680851</v>
      </c>
      <c r="V1771" s="182">
        <v>0.13253012048192772</v>
      </c>
      <c r="W1771" s="181">
        <v>0.2</v>
      </c>
      <c r="X1771" s="180">
        <v>0.15094339622641509</v>
      </c>
      <c r="Y1771" s="182">
        <v>0.17045454545454544</v>
      </c>
      <c r="Z1771" s="181">
        <v>0.13043478260869565</v>
      </c>
      <c r="AA1771" s="180">
        <v>0.15151515151515152</v>
      </c>
      <c r="AB1771" s="182">
        <v>0.14285714285714285</v>
      </c>
    </row>
    <row r="1772" spans="1:32" s="41" customFormat="1" ht="15" thickBot="1" x14ac:dyDescent="0.25">
      <c r="A1772" s="93" t="s">
        <v>39</v>
      </c>
      <c r="B1772" s="31">
        <f>COUNTIFS(DATA!$BF$3:$BF$7183,"4",DATA!$D$3:$D$7183,260)</f>
        <v>0</v>
      </c>
      <c r="C1772" s="35">
        <f>IF(B110773=0,0,+B1772/B1773)</f>
        <v>0</v>
      </c>
      <c r="D1772" s="42">
        <f>COUNTIFS(DATA!$BF$3:$BF$7183,"4",DATA!$D$3:$D$7183,280)</f>
        <v>3</v>
      </c>
      <c r="E1772" s="35">
        <f>+D1772/D1773</f>
        <v>0.10714285714285714</v>
      </c>
      <c r="F1772" s="42">
        <f t="shared" si="162"/>
        <v>3</v>
      </c>
      <c r="G1772" s="35">
        <f>+F1772/F1773</f>
        <v>6.9767441860465115E-2</v>
      </c>
      <c r="H1772" s="181">
        <v>0</v>
      </c>
      <c r="I1772" s="180">
        <v>5.7142857142857141E-2</v>
      </c>
      <c r="J1772" s="182">
        <v>6.1224489795918366E-2</v>
      </c>
      <c r="K1772" s="181">
        <v>0</v>
      </c>
      <c r="L1772" s="180">
        <v>6.6666666666666666E-2</v>
      </c>
      <c r="M1772" s="182">
        <v>5.4545454545454543E-2</v>
      </c>
      <c r="N1772" s="181">
        <v>5.5555555555555552E-2</v>
      </c>
      <c r="O1772" s="180">
        <v>4.6875E-2</v>
      </c>
      <c r="P1772" s="182">
        <v>4.878048780487805E-2</v>
      </c>
      <c r="Q1772" s="181">
        <v>0</v>
      </c>
      <c r="R1772" s="180">
        <v>0.09</v>
      </c>
      <c r="S1772" s="182">
        <v>0.05</v>
      </c>
      <c r="T1772" s="181">
        <v>0</v>
      </c>
      <c r="U1772" s="180">
        <v>8.5106382978723402E-2</v>
      </c>
      <c r="V1772" s="182">
        <v>4.8192771084337352E-2</v>
      </c>
      <c r="W1772" s="181">
        <v>0</v>
      </c>
      <c r="X1772" s="180">
        <v>5.6603773584905662E-2</v>
      </c>
      <c r="Y1772" s="182">
        <v>3.4090909090909088E-2</v>
      </c>
      <c r="Z1772" s="181">
        <v>0.13043478260869565</v>
      </c>
      <c r="AA1772" s="180">
        <v>0</v>
      </c>
      <c r="AB1772" s="182">
        <v>5.3571428571428568E-2</v>
      </c>
      <c r="AC1772" s="74"/>
      <c r="AF1772" s="162"/>
    </row>
    <row r="1773" spans="1:32" s="41" customFormat="1" ht="15.75" thickBot="1" x14ac:dyDescent="0.3">
      <c r="A1773" s="111" t="s">
        <v>16</v>
      </c>
      <c r="B1773" s="101">
        <f>SUM(B1769:B1772)</f>
        <v>15</v>
      </c>
      <c r="C1773" s="114">
        <f>IF(B1773=0,0,+B1773/B1773)</f>
        <v>1</v>
      </c>
      <c r="D1773" s="101">
        <f>SUM(D1769:D1772)</f>
        <v>28</v>
      </c>
      <c r="E1773" s="114">
        <f>+D1773/D1773</f>
        <v>1</v>
      </c>
      <c r="F1773" s="101">
        <f>SUM(F1769:F1772)</f>
        <v>43</v>
      </c>
      <c r="G1773" s="114">
        <f>+F1773/F1773</f>
        <v>1</v>
      </c>
      <c r="H1773" s="183">
        <v>1</v>
      </c>
      <c r="I1773" s="184">
        <v>1</v>
      </c>
      <c r="J1773" s="185">
        <v>1</v>
      </c>
      <c r="K1773" s="183">
        <v>1</v>
      </c>
      <c r="L1773" s="184">
        <v>1</v>
      </c>
      <c r="M1773" s="185">
        <v>1</v>
      </c>
      <c r="N1773" s="183">
        <v>1</v>
      </c>
      <c r="O1773" s="184">
        <v>1</v>
      </c>
      <c r="P1773" s="185">
        <v>1</v>
      </c>
      <c r="Q1773" s="183">
        <v>1</v>
      </c>
      <c r="R1773" s="184">
        <v>1</v>
      </c>
      <c r="S1773" s="185">
        <v>1</v>
      </c>
      <c r="T1773" s="183">
        <v>1</v>
      </c>
      <c r="U1773" s="184">
        <v>1</v>
      </c>
      <c r="V1773" s="185">
        <v>1</v>
      </c>
      <c r="W1773" s="183">
        <v>1</v>
      </c>
      <c r="X1773" s="184">
        <v>1</v>
      </c>
      <c r="Y1773" s="185">
        <v>1</v>
      </c>
      <c r="Z1773" s="183">
        <v>1</v>
      </c>
      <c r="AA1773" s="184">
        <v>1</v>
      </c>
      <c r="AB1773" s="185">
        <v>1</v>
      </c>
      <c r="AF1773" s="162"/>
    </row>
    <row r="1774" spans="1:32" s="41" customFormat="1" x14ac:dyDescent="0.2">
      <c r="N1774" s="162"/>
    </row>
    <row r="1775" spans="1:32" s="41" customFormat="1" ht="14.25" customHeight="1" x14ac:dyDescent="0.2">
      <c r="K1775" s="218" t="s">
        <v>7245</v>
      </c>
      <c r="L1775" s="218"/>
      <c r="M1775" s="218"/>
      <c r="N1775" s="218"/>
      <c r="O1775" s="218"/>
      <c r="P1775" s="218"/>
      <c r="Q1775" s="218"/>
      <c r="R1775" s="218"/>
    </row>
    <row r="1776" spans="1:32" s="41" customFormat="1" x14ac:dyDescent="0.2">
      <c r="K1776" s="218"/>
      <c r="L1776" s="218"/>
      <c r="M1776" s="218"/>
      <c r="N1776" s="218"/>
      <c r="O1776" s="218"/>
      <c r="P1776" s="218"/>
      <c r="Q1776" s="218"/>
      <c r="R1776" s="218"/>
    </row>
    <row r="1777" spans="11:18" s="41" customFormat="1" ht="14.25" customHeight="1" x14ac:dyDescent="0.2">
      <c r="K1777" s="219" t="s">
        <v>7243</v>
      </c>
      <c r="L1777" s="219"/>
      <c r="M1777" s="219"/>
      <c r="N1777" s="219"/>
      <c r="O1777" s="219"/>
      <c r="P1777" s="219"/>
      <c r="Q1777" s="219"/>
      <c r="R1777" s="219"/>
    </row>
    <row r="1778" spans="11:18" s="41" customFormat="1" x14ac:dyDescent="0.2">
      <c r="K1778" s="219"/>
      <c r="L1778" s="219"/>
      <c r="M1778" s="219"/>
      <c r="N1778" s="219"/>
      <c r="O1778" s="219"/>
      <c r="P1778" s="219"/>
      <c r="Q1778" s="219"/>
      <c r="R1778" s="219"/>
    </row>
    <row r="1779" spans="11:18" s="41" customFormat="1" ht="14.25" customHeight="1" x14ac:dyDescent="0.2">
      <c r="K1779" s="215" t="s">
        <v>7244</v>
      </c>
      <c r="L1779" s="215"/>
      <c r="M1779" s="215"/>
      <c r="N1779" s="215"/>
      <c r="O1779" s="215"/>
      <c r="P1779" s="215"/>
      <c r="Q1779" s="215"/>
      <c r="R1779" s="215"/>
    </row>
    <row r="1780" spans="11:18" s="41" customFormat="1" x14ac:dyDescent="0.2">
      <c r="K1780" s="215"/>
      <c r="L1780" s="215"/>
      <c r="M1780" s="215"/>
      <c r="N1780" s="215"/>
      <c r="O1780" s="215"/>
      <c r="P1780" s="215"/>
      <c r="Q1780" s="215"/>
      <c r="R1780" s="215"/>
    </row>
    <row r="1781" spans="11:18" s="41" customFormat="1" x14ac:dyDescent="0.2">
      <c r="N1781" s="162"/>
    </row>
    <row r="1782" spans="11:18" s="41" customFormat="1" x14ac:dyDescent="0.2">
      <c r="N1782" s="162"/>
    </row>
    <row r="1783" spans="11:18" s="41" customFormat="1" x14ac:dyDescent="0.2">
      <c r="N1783" s="162"/>
    </row>
    <row r="1784" spans="11:18" s="41" customFormat="1" x14ac:dyDescent="0.2">
      <c r="N1784" s="162"/>
    </row>
    <row r="1785" spans="11:18" s="41" customFormat="1" x14ac:dyDescent="0.2">
      <c r="N1785" s="162"/>
    </row>
    <row r="1786" spans="11:18" s="41" customFormat="1" x14ac:dyDescent="0.2">
      <c r="N1786" s="162"/>
    </row>
    <row r="1787" spans="11:18" s="41" customFormat="1" x14ac:dyDescent="0.2">
      <c r="N1787" s="162"/>
    </row>
    <row r="1788" spans="11:18" s="41" customFormat="1" x14ac:dyDescent="0.2">
      <c r="N1788" s="162"/>
    </row>
    <row r="1789" spans="11:18" s="41" customFormat="1" x14ac:dyDescent="0.2">
      <c r="N1789" s="162"/>
    </row>
    <row r="1790" spans="11:18" s="41" customFormat="1" x14ac:dyDescent="0.2">
      <c r="N1790" s="162"/>
    </row>
    <row r="1791" spans="11:18" s="41" customFormat="1" x14ac:dyDescent="0.2">
      <c r="N1791" s="162"/>
    </row>
    <row r="1792" spans="11:18" s="41" customFormat="1" x14ac:dyDescent="0.2">
      <c r="N1792" s="162"/>
    </row>
    <row r="1793" spans="1:32" s="41" customFormat="1" x14ac:dyDescent="0.2">
      <c r="N1793" s="162"/>
    </row>
    <row r="1794" spans="1:32" s="41" customFormat="1" x14ac:dyDescent="0.2">
      <c r="N1794" s="162"/>
    </row>
    <row r="1795" spans="1:32" s="41" customFormat="1" x14ac:dyDescent="0.2">
      <c r="N1795" s="162"/>
    </row>
    <row r="1796" spans="1:32" s="41" customFormat="1" x14ac:dyDescent="0.2">
      <c r="N1796" s="162"/>
    </row>
    <row r="1797" spans="1:32" s="41" customFormat="1" x14ac:dyDescent="0.2">
      <c r="N1797" s="162"/>
    </row>
    <row r="1798" spans="1:32" s="41" customFormat="1" x14ac:dyDescent="0.2">
      <c r="N1798" s="162"/>
    </row>
    <row r="1799" spans="1:32" s="41" customFormat="1" x14ac:dyDescent="0.2">
      <c r="N1799" s="162"/>
    </row>
    <row r="1800" spans="1:32" s="41" customFormat="1" ht="15" thickBot="1" x14ac:dyDescent="0.25">
      <c r="N1800" s="162"/>
    </row>
    <row r="1801" spans="1:32" s="41" customFormat="1" ht="42" customHeight="1" thickBot="1" x14ac:dyDescent="0.25">
      <c r="A1801" s="240" t="s">
        <v>126</v>
      </c>
      <c r="B1801" s="241"/>
      <c r="C1801" s="241"/>
      <c r="D1801" s="241"/>
      <c r="E1801" s="241"/>
      <c r="F1801" s="241"/>
      <c r="G1801" s="242"/>
      <c r="H1801" s="74"/>
      <c r="I1801" s="74"/>
      <c r="J1801" s="74"/>
      <c r="K1801" s="74"/>
      <c r="N1801" s="162"/>
    </row>
    <row r="1802" spans="1:32" s="41" customFormat="1" ht="15.75" thickBot="1" x14ac:dyDescent="0.3">
      <c r="A1802" s="28"/>
      <c r="B1802" s="234" t="str">
        <f>+B73</f>
        <v>Successful</v>
      </c>
      <c r="C1802" s="235"/>
      <c r="D1802" s="236" t="str">
        <f>+D73</f>
        <v>Unsuccessful</v>
      </c>
      <c r="E1802" s="237"/>
      <c r="F1802" s="238" t="s">
        <v>16</v>
      </c>
      <c r="G1802" s="239"/>
      <c r="H1802" s="206">
        <f>+H73</f>
        <v>2021</v>
      </c>
      <c r="I1802" s="207"/>
      <c r="J1802" s="208"/>
      <c r="K1802" s="206">
        <f>+K73</f>
        <v>2020</v>
      </c>
      <c r="L1802" s="207"/>
      <c r="M1802" s="208"/>
      <c r="N1802" s="206">
        <f>+N73</f>
        <v>2019</v>
      </c>
      <c r="O1802" s="207"/>
      <c r="P1802" s="208"/>
      <c r="Q1802" s="206">
        <f>+Q73</f>
        <v>2018</v>
      </c>
      <c r="R1802" s="207"/>
      <c r="S1802" s="208"/>
      <c r="T1802" s="206">
        <f>+T73</f>
        <v>2017</v>
      </c>
      <c r="U1802" s="207"/>
      <c r="V1802" s="208"/>
      <c r="W1802" s="209">
        <f>+W73</f>
        <v>2016</v>
      </c>
      <c r="X1802" s="210"/>
      <c r="Y1802" s="211"/>
      <c r="Z1802" s="209">
        <f>+Z73</f>
        <v>2015</v>
      </c>
      <c r="AA1802" s="210"/>
      <c r="AB1802" s="211"/>
      <c r="AC1802" s="165"/>
      <c r="AF1802" s="162"/>
    </row>
    <row r="1803" spans="1:32" s="41" customFormat="1" ht="29.25" customHeight="1" thickBot="1" x14ac:dyDescent="0.25">
      <c r="A1803" s="28"/>
      <c r="B1803" s="29" t="s">
        <v>37</v>
      </c>
      <c r="C1803" s="30" t="s">
        <v>38</v>
      </c>
      <c r="D1803" s="29" t="s">
        <v>37</v>
      </c>
      <c r="E1803" s="30" t="s">
        <v>38</v>
      </c>
      <c r="F1803" s="29" t="s">
        <v>37</v>
      </c>
      <c r="G1803" s="30" t="s">
        <v>38</v>
      </c>
      <c r="H1803" s="186" t="s">
        <v>132</v>
      </c>
      <c r="I1803" s="187" t="s">
        <v>133</v>
      </c>
      <c r="J1803" s="44" t="s">
        <v>16</v>
      </c>
      <c r="K1803" s="186" t="s">
        <v>132</v>
      </c>
      <c r="L1803" s="187" t="s">
        <v>133</v>
      </c>
      <c r="M1803" s="44" t="s">
        <v>16</v>
      </c>
      <c r="N1803" s="186" t="s">
        <v>132</v>
      </c>
      <c r="O1803" s="187" t="s">
        <v>133</v>
      </c>
      <c r="P1803" s="44" t="s">
        <v>16</v>
      </c>
      <c r="Q1803" s="186" t="s">
        <v>132</v>
      </c>
      <c r="R1803" s="187" t="s">
        <v>133</v>
      </c>
      <c r="S1803" s="44" t="s">
        <v>16</v>
      </c>
      <c r="T1803" s="186" t="s">
        <v>132</v>
      </c>
      <c r="U1803" s="187" t="s">
        <v>133</v>
      </c>
      <c r="V1803" s="44" t="s">
        <v>16</v>
      </c>
      <c r="W1803" s="186" t="s">
        <v>132</v>
      </c>
      <c r="X1803" s="187" t="s">
        <v>133</v>
      </c>
      <c r="Y1803" s="44" t="s">
        <v>16</v>
      </c>
      <c r="Z1803" s="186" t="s">
        <v>132</v>
      </c>
      <c r="AA1803" s="187" t="s">
        <v>133</v>
      </c>
      <c r="AB1803" s="44" t="s">
        <v>16</v>
      </c>
    </row>
    <row r="1804" spans="1:32" s="41" customFormat="1" x14ac:dyDescent="0.2">
      <c r="A1804" s="98" t="s">
        <v>134</v>
      </c>
      <c r="B1804" s="31">
        <f>COUNTIFS(DATA!$BG$3:$BG$7183,1,DATA!$D$3:$D$7183,260)</f>
        <v>3</v>
      </c>
      <c r="C1804" s="35">
        <f>IF(B1808=0,0,+B1804/B1808)</f>
        <v>0.2</v>
      </c>
      <c r="D1804" s="31">
        <f>COUNTIFS(DATA!$BG$3:$BG$7183,1,DATA!$D$3:$D$7183,280)</f>
        <v>3</v>
      </c>
      <c r="E1804" s="35">
        <f>+D1804/D1808</f>
        <v>0.10714285714285714</v>
      </c>
      <c r="F1804" s="31">
        <f>+D1804+B1804</f>
        <v>6</v>
      </c>
      <c r="G1804" s="35">
        <f>+F1804/F1808</f>
        <v>0.13953488372093023</v>
      </c>
      <c r="H1804" s="181">
        <v>0.2857142857142857</v>
      </c>
      <c r="I1804" s="180">
        <v>0.14285714285714285</v>
      </c>
      <c r="J1804" s="182">
        <v>0.18367346938775511</v>
      </c>
      <c r="K1804" s="181">
        <v>0.1</v>
      </c>
      <c r="L1804" s="180">
        <v>0.26666666666666666</v>
      </c>
      <c r="M1804" s="182">
        <v>0.23636363636363636</v>
      </c>
      <c r="N1804" s="181">
        <v>0.27777777777777779</v>
      </c>
      <c r="O1804" s="180">
        <v>0.265625</v>
      </c>
      <c r="P1804" s="182">
        <v>0.26829268292682928</v>
      </c>
      <c r="Q1804" s="181">
        <v>0.5</v>
      </c>
      <c r="R1804" s="180">
        <v>0.3</v>
      </c>
      <c r="S1804" s="182">
        <v>0.39</v>
      </c>
      <c r="T1804" s="181">
        <v>0.5</v>
      </c>
      <c r="U1804" s="180">
        <v>0.2978723404255319</v>
      </c>
      <c r="V1804" s="182">
        <v>0.38554216867469882</v>
      </c>
      <c r="W1804" s="181">
        <v>0.45714285714285713</v>
      </c>
      <c r="X1804" s="180">
        <v>0.33962264150943394</v>
      </c>
      <c r="Y1804" s="182">
        <v>0.38636363636363635</v>
      </c>
      <c r="Z1804" s="181">
        <v>0.2608695652173913</v>
      </c>
      <c r="AA1804" s="180">
        <v>0.18181818181818182</v>
      </c>
      <c r="AB1804" s="182">
        <v>0.21428571428571427</v>
      </c>
    </row>
    <row r="1805" spans="1:32" s="41" customFormat="1" ht="29.25" customHeight="1" x14ac:dyDescent="0.2">
      <c r="A1805" s="99" t="s">
        <v>135</v>
      </c>
      <c r="B1805" s="31">
        <f>COUNTIFS(DATA!$BG$3:$BG$7183,2,DATA!$D$3:$D$7183,260)</f>
        <v>11</v>
      </c>
      <c r="C1805" s="35">
        <f>IF(B1808=0,0,+B1805/B1808)</f>
        <v>0.73333333333333328</v>
      </c>
      <c r="D1805" s="42">
        <f>COUNTIFS(DATA!$BG$3:$BG$7183,2,DATA!$D$3:$D$7183,280)</f>
        <v>20</v>
      </c>
      <c r="E1805" s="35">
        <f>+D1805/D1808</f>
        <v>0.7142857142857143</v>
      </c>
      <c r="F1805" s="42">
        <f t="shared" ref="F1805:F1807" si="163">+D1805+B1805</f>
        <v>31</v>
      </c>
      <c r="G1805" s="35">
        <f>+F1805/F1808</f>
        <v>0.72093023255813948</v>
      </c>
      <c r="H1805" s="181">
        <v>0.5714285714285714</v>
      </c>
      <c r="I1805" s="180">
        <v>0.62857142857142856</v>
      </c>
      <c r="J1805" s="182">
        <v>0.61224489795918369</v>
      </c>
      <c r="K1805" s="181">
        <v>0.7</v>
      </c>
      <c r="L1805" s="180">
        <v>0.51111111111111107</v>
      </c>
      <c r="M1805" s="182">
        <v>0.54545454545454541</v>
      </c>
      <c r="N1805" s="181">
        <v>0.55555555555555558</v>
      </c>
      <c r="O1805" s="180">
        <v>0.53125</v>
      </c>
      <c r="P1805" s="182">
        <v>0.53658536585365857</v>
      </c>
      <c r="Q1805" s="181">
        <v>0.39</v>
      </c>
      <c r="R1805" s="180">
        <v>0.56999999999999995</v>
      </c>
      <c r="S1805" s="182">
        <v>0.49</v>
      </c>
      <c r="T1805" s="181">
        <v>0.3888888888888889</v>
      </c>
      <c r="U1805" s="180">
        <v>0.57446808510638303</v>
      </c>
      <c r="V1805" s="182">
        <v>0.49397590361445781</v>
      </c>
      <c r="W1805" s="181">
        <v>0.31428571428571428</v>
      </c>
      <c r="X1805" s="180">
        <v>0.50943396226415094</v>
      </c>
      <c r="Y1805" s="182">
        <v>0.43181818181818182</v>
      </c>
      <c r="Z1805" s="181">
        <v>0.47826086956521741</v>
      </c>
      <c r="AA1805" s="180">
        <v>0.60606060606060608</v>
      </c>
      <c r="AB1805" s="182">
        <v>0.5535714285714286</v>
      </c>
    </row>
    <row r="1806" spans="1:32" s="41" customFormat="1" ht="28.5" customHeight="1" x14ac:dyDescent="0.2">
      <c r="A1806" s="92" t="s">
        <v>94</v>
      </c>
      <c r="B1806" s="31">
        <f>COUNTIFS(DATA!$BG$3:$BG$7183,"3",DATA!$D$3:$D$7183,260)</f>
        <v>1</v>
      </c>
      <c r="C1806" s="35">
        <f>IF(B1808=0,0,+B1806/B1808)</f>
        <v>6.6666666666666666E-2</v>
      </c>
      <c r="D1806" s="42">
        <f>COUNTIFS(DATA!$BG$3:$BG$7183,"3",DATA!$D$3:$D$7183,280)</f>
        <v>2</v>
      </c>
      <c r="E1806" s="35">
        <f>+D1806/D1808</f>
        <v>7.1428571428571425E-2</v>
      </c>
      <c r="F1806" s="42">
        <f t="shared" si="163"/>
        <v>3</v>
      </c>
      <c r="G1806" s="35">
        <f>+F1806/F1808</f>
        <v>6.9767441860465115E-2</v>
      </c>
      <c r="H1806" s="181">
        <v>7.1428571428571425E-2</v>
      </c>
      <c r="I1806" s="180">
        <v>0.17142857142857143</v>
      </c>
      <c r="J1806" s="182">
        <v>0.14285714285714285</v>
      </c>
      <c r="K1806" s="181">
        <v>0.2</v>
      </c>
      <c r="L1806" s="180">
        <v>0.13333333333333333</v>
      </c>
      <c r="M1806" s="182">
        <v>0.14545454545454545</v>
      </c>
      <c r="N1806" s="181">
        <v>0.1111111111111111</v>
      </c>
      <c r="O1806" s="180">
        <v>0.140625</v>
      </c>
      <c r="P1806" s="182">
        <v>0.13414634146341464</v>
      </c>
      <c r="Q1806" s="181">
        <v>0.11</v>
      </c>
      <c r="R1806" s="180">
        <v>0.02</v>
      </c>
      <c r="S1806" s="182">
        <v>0.06</v>
      </c>
      <c r="T1806" s="181">
        <v>0.1111111111111111</v>
      </c>
      <c r="U1806" s="180">
        <v>2.1276595744680851E-2</v>
      </c>
      <c r="V1806" s="182">
        <v>6.0240963855421686E-2</v>
      </c>
      <c r="W1806" s="181">
        <v>0.22857142857142856</v>
      </c>
      <c r="X1806" s="180">
        <v>9.4339622641509441E-2</v>
      </c>
      <c r="Y1806" s="182">
        <v>0.14772727272727273</v>
      </c>
      <c r="Z1806" s="181">
        <v>0.13043478260869565</v>
      </c>
      <c r="AA1806" s="180">
        <v>0.21212121212121213</v>
      </c>
      <c r="AB1806" s="182">
        <v>0.17857142857142858</v>
      </c>
    </row>
    <row r="1807" spans="1:32" s="41" customFormat="1" ht="15" thickBot="1" x14ac:dyDescent="0.25">
      <c r="A1807" s="93" t="s">
        <v>39</v>
      </c>
      <c r="B1807" s="31">
        <f>COUNTIFS(DATA!$BG$3:$BG$7183,"4",DATA!$D$3:$D$7183,260)</f>
        <v>0</v>
      </c>
      <c r="C1807" s="35">
        <f>IF(B1808=0,0,+B1807/B1808)</f>
        <v>0</v>
      </c>
      <c r="D1807" s="42">
        <f>COUNTIFS(DATA!$BG$3:$BG$7183,"4",DATA!$D$3:$D$7183,280)</f>
        <v>3</v>
      </c>
      <c r="E1807" s="35">
        <f>+D1807/D1808</f>
        <v>0.10714285714285714</v>
      </c>
      <c r="F1807" s="42">
        <f t="shared" si="163"/>
        <v>3</v>
      </c>
      <c r="G1807" s="35">
        <f>+F1807/F1808</f>
        <v>6.9767441860465115E-2</v>
      </c>
      <c r="H1807" s="181">
        <v>7.1428571428571425E-2</v>
      </c>
      <c r="I1807" s="180">
        <v>5.7142857142857141E-2</v>
      </c>
      <c r="J1807" s="182">
        <v>6.1224489795918366E-2</v>
      </c>
      <c r="K1807" s="181">
        <v>0</v>
      </c>
      <c r="L1807" s="180">
        <v>8.8888888888888892E-2</v>
      </c>
      <c r="M1807" s="182">
        <v>7.2727272727272724E-2</v>
      </c>
      <c r="N1807" s="181">
        <v>5.5555555555555552E-2</v>
      </c>
      <c r="O1807" s="180">
        <v>6.25E-2</v>
      </c>
      <c r="P1807" s="182">
        <v>6.097560975609756E-2</v>
      </c>
      <c r="Q1807" s="181">
        <v>0</v>
      </c>
      <c r="R1807" s="180">
        <v>0.11</v>
      </c>
      <c r="S1807" s="182">
        <v>0.06</v>
      </c>
      <c r="T1807" s="181">
        <v>0</v>
      </c>
      <c r="U1807" s="180">
        <v>0.10638297872340426</v>
      </c>
      <c r="V1807" s="182">
        <v>6.0240963855421686E-2</v>
      </c>
      <c r="W1807" s="181">
        <v>0</v>
      </c>
      <c r="X1807" s="180">
        <v>5.6603773584905662E-2</v>
      </c>
      <c r="Y1807" s="182">
        <v>3.4090909090909088E-2</v>
      </c>
      <c r="Z1807" s="181">
        <v>0.13043478260869565</v>
      </c>
      <c r="AA1807" s="180">
        <v>0</v>
      </c>
      <c r="AB1807" s="182">
        <v>5.3571428571428568E-2</v>
      </c>
      <c r="AC1807" s="74"/>
      <c r="AF1807" s="162"/>
    </row>
    <row r="1808" spans="1:32" s="41" customFormat="1" ht="15.75" thickBot="1" x14ac:dyDescent="0.3">
      <c r="A1808" s="111" t="s">
        <v>16</v>
      </c>
      <c r="B1808" s="101">
        <f>SUM(B1804:B1807)</f>
        <v>15</v>
      </c>
      <c r="C1808" s="114">
        <f>IF(B1808=0,0,+B1808/B1808)</f>
        <v>1</v>
      </c>
      <c r="D1808" s="101">
        <f>SUM(D1804:D1807)</f>
        <v>28</v>
      </c>
      <c r="E1808" s="114">
        <f>+D1808/D1808</f>
        <v>1</v>
      </c>
      <c r="F1808" s="101">
        <f>SUM(F1804:F1807)</f>
        <v>43</v>
      </c>
      <c r="G1808" s="114">
        <f>+F1808/F1808</f>
        <v>1</v>
      </c>
      <c r="H1808" s="183">
        <v>1</v>
      </c>
      <c r="I1808" s="184">
        <v>1</v>
      </c>
      <c r="J1808" s="185">
        <v>1</v>
      </c>
      <c r="K1808" s="183">
        <v>1</v>
      </c>
      <c r="L1808" s="184">
        <v>1</v>
      </c>
      <c r="M1808" s="185">
        <v>1</v>
      </c>
      <c r="N1808" s="183">
        <v>1</v>
      </c>
      <c r="O1808" s="184">
        <v>1</v>
      </c>
      <c r="P1808" s="185">
        <v>1</v>
      </c>
      <c r="Q1808" s="183">
        <v>1</v>
      </c>
      <c r="R1808" s="184">
        <v>1</v>
      </c>
      <c r="S1808" s="185">
        <v>1</v>
      </c>
      <c r="T1808" s="183">
        <v>1</v>
      </c>
      <c r="U1808" s="184">
        <v>1</v>
      </c>
      <c r="V1808" s="185">
        <v>1</v>
      </c>
      <c r="W1808" s="183">
        <v>1</v>
      </c>
      <c r="X1808" s="184">
        <v>1</v>
      </c>
      <c r="Y1808" s="185">
        <v>1</v>
      </c>
      <c r="Z1808" s="183">
        <v>1</v>
      </c>
      <c r="AA1808" s="184">
        <v>1</v>
      </c>
      <c r="AB1808" s="185">
        <v>1</v>
      </c>
      <c r="AF1808" s="162"/>
    </row>
    <row r="1809" spans="11:18" s="41" customFormat="1" x14ac:dyDescent="0.2">
      <c r="N1809" s="162"/>
    </row>
    <row r="1810" spans="11:18" s="41" customFormat="1" ht="14.25" customHeight="1" x14ac:dyDescent="0.2">
      <c r="K1810" s="218" t="s">
        <v>7245</v>
      </c>
      <c r="L1810" s="218"/>
      <c r="M1810" s="218"/>
      <c r="N1810" s="218"/>
      <c r="O1810" s="218"/>
      <c r="P1810" s="218"/>
      <c r="Q1810" s="218"/>
      <c r="R1810" s="218"/>
    </row>
    <row r="1811" spans="11:18" s="41" customFormat="1" x14ac:dyDescent="0.2">
      <c r="K1811" s="218"/>
      <c r="L1811" s="218"/>
      <c r="M1811" s="218"/>
      <c r="N1811" s="218"/>
      <c r="O1811" s="218"/>
      <c r="P1811" s="218"/>
      <c r="Q1811" s="218"/>
      <c r="R1811" s="218"/>
    </row>
    <row r="1812" spans="11:18" s="41" customFormat="1" ht="14.25" customHeight="1" x14ac:dyDescent="0.2">
      <c r="K1812" s="219" t="s">
        <v>7246</v>
      </c>
      <c r="L1812" s="219"/>
      <c r="M1812" s="219"/>
      <c r="N1812" s="219"/>
      <c r="O1812" s="219"/>
      <c r="P1812" s="219"/>
      <c r="Q1812" s="219"/>
      <c r="R1812" s="219"/>
    </row>
    <row r="1813" spans="11:18" s="41" customFormat="1" x14ac:dyDescent="0.2">
      <c r="K1813" s="219"/>
      <c r="L1813" s="219"/>
      <c r="M1813" s="219"/>
      <c r="N1813" s="219"/>
      <c r="O1813" s="219"/>
      <c r="P1813" s="219"/>
      <c r="Q1813" s="219"/>
      <c r="R1813" s="219"/>
    </row>
    <row r="1814" spans="11:18" s="41" customFormat="1" ht="14.25" customHeight="1" x14ac:dyDescent="0.2">
      <c r="K1814" s="215" t="s">
        <v>7247</v>
      </c>
      <c r="L1814" s="215"/>
      <c r="M1814" s="215"/>
      <c r="N1814" s="215"/>
      <c r="O1814" s="215"/>
      <c r="P1814" s="215"/>
      <c r="Q1814" s="215"/>
      <c r="R1814" s="215"/>
    </row>
    <row r="1815" spans="11:18" s="41" customFormat="1" x14ac:dyDescent="0.2">
      <c r="K1815" s="215"/>
      <c r="L1815" s="215"/>
      <c r="M1815" s="215"/>
      <c r="N1815" s="215"/>
      <c r="O1815" s="215"/>
      <c r="P1815" s="215"/>
      <c r="Q1815" s="215"/>
      <c r="R1815" s="215"/>
    </row>
    <row r="1816" spans="11:18" s="41" customFormat="1" x14ac:dyDescent="0.2">
      <c r="N1816" s="162"/>
    </row>
    <row r="1817" spans="11:18" s="41" customFormat="1" x14ac:dyDescent="0.2">
      <c r="N1817" s="162"/>
    </row>
    <row r="1818" spans="11:18" s="41" customFormat="1" x14ac:dyDescent="0.2">
      <c r="N1818" s="162"/>
    </row>
    <row r="1819" spans="11:18" s="41" customFormat="1" x14ac:dyDescent="0.2">
      <c r="N1819" s="162"/>
    </row>
    <row r="1820" spans="11:18" s="41" customFormat="1" x14ac:dyDescent="0.2">
      <c r="N1820" s="162"/>
    </row>
    <row r="1821" spans="11:18" s="41" customFormat="1" x14ac:dyDescent="0.2">
      <c r="N1821" s="162"/>
    </row>
    <row r="1822" spans="11:18" s="41" customFormat="1" x14ac:dyDescent="0.2">
      <c r="N1822" s="162"/>
    </row>
    <row r="1823" spans="11:18" s="41" customFormat="1" x14ac:dyDescent="0.2">
      <c r="N1823" s="162"/>
    </row>
    <row r="1824" spans="11:18" s="41" customFormat="1" x14ac:dyDescent="0.2">
      <c r="N1824" s="162"/>
    </row>
    <row r="1825" spans="1:32" s="41" customFormat="1" x14ac:dyDescent="0.2">
      <c r="N1825" s="162"/>
    </row>
    <row r="1826" spans="1:32" s="41" customFormat="1" x14ac:dyDescent="0.2">
      <c r="N1826" s="162"/>
    </row>
    <row r="1827" spans="1:32" s="41" customFormat="1" x14ac:dyDescent="0.2">
      <c r="N1827" s="162"/>
    </row>
    <row r="1828" spans="1:32" s="41" customFormat="1" x14ac:dyDescent="0.2">
      <c r="N1828" s="162"/>
    </row>
    <row r="1829" spans="1:32" s="41" customFormat="1" x14ac:dyDescent="0.2">
      <c r="N1829" s="162"/>
    </row>
    <row r="1830" spans="1:32" s="41" customFormat="1" x14ac:dyDescent="0.2">
      <c r="N1830" s="162"/>
    </row>
    <row r="1831" spans="1:32" s="41" customFormat="1" x14ac:dyDescent="0.2">
      <c r="N1831" s="162"/>
    </row>
    <row r="1832" spans="1:32" s="41" customFormat="1" x14ac:dyDescent="0.2">
      <c r="N1832" s="162"/>
    </row>
    <row r="1833" spans="1:32" s="41" customFormat="1" x14ac:dyDescent="0.2">
      <c r="N1833" s="162"/>
    </row>
    <row r="1834" spans="1:32" s="41" customFormat="1" x14ac:dyDescent="0.2">
      <c r="N1834" s="162"/>
    </row>
    <row r="1835" spans="1:32" s="41" customFormat="1" ht="15" thickBot="1" x14ac:dyDescent="0.25">
      <c r="N1835" s="162"/>
    </row>
    <row r="1836" spans="1:32" s="41" customFormat="1" ht="42" customHeight="1" thickBot="1" x14ac:dyDescent="0.25">
      <c r="A1836" s="240" t="s">
        <v>127</v>
      </c>
      <c r="B1836" s="241"/>
      <c r="C1836" s="241"/>
      <c r="D1836" s="241"/>
      <c r="E1836" s="241"/>
      <c r="F1836" s="241"/>
      <c r="G1836" s="242"/>
      <c r="H1836" s="74"/>
      <c r="I1836" s="74"/>
      <c r="J1836" s="74"/>
      <c r="K1836" s="74"/>
      <c r="N1836" s="162"/>
    </row>
    <row r="1837" spans="1:32" s="41" customFormat="1" ht="15.75" thickBot="1" x14ac:dyDescent="0.3">
      <c r="A1837" s="28"/>
      <c r="B1837" s="234" t="str">
        <f>+B73</f>
        <v>Successful</v>
      </c>
      <c r="C1837" s="235"/>
      <c r="D1837" s="236" t="str">
        <f>+D73</f>
        <v>Unsuccessful</v>
      </c>
      <c r="E1837" s="237"/>
      <c r="F1837" s="238" t="s">
        <v>16</v>
      </c>
      <c r="G1837" s="239"/>
      <c r="H1837" s="206">
        <f>+H73</f>
        <v>2021</v>
      </c>
      <c r="I1837" s="207"/>
      <c r="J1837" s="208"/>
      <c r="K1837" s="206">
        <f>+K73</f>
        <v>2020</v>
      </c>
      <c r="L1837" s="207"/>
      <c r="M1837" s="208"/>
      <c r="N1837" s="206">
        <f>+N73</f>
        <v>2019</v>
      </c>
      <c r="O1837" s="207"/>
      <c r="P1837" s="208"/>
      <c r="Q1837" s="206">
        <f>+Q73</f>
        <v>2018</v>
      </c>
      <c r="R1837" s="207"/>
      <c r="S1837" s="208"/>
      <c r="T1837" s="206">
        <f>+T73</f>
        <v>2017</v>
      </c>
      <c r="U1837" s="207"/>
      <c r="V1837" s="208"/>
      <c r="W1837" s="209">
        <f>+W73</f>
        <v>2016</v>
      </c>
      <c r="X1837" s="210"/>
      <c r="Y1837" s="211"/>
      <c r="Z1837" s="209">
        <f>+Z73</f>
        <v>2015</v>
      </c>
      <c r="AA1837" s="210"/>
      <c r="AB1837" s="211"/>
      <c r="AC1837" s="165"/>
      <c r="AF1837" s="162"/>
    </row>
    <row r="1838" spans="1:32" s="41" customFormat="1" ht="29.25" thickBot="1" x14ac:dyDescent="0.25">
      <c r="A1838" s="28"/>
      <c r="B1838" s="29" t="s">
        <v>37</v>
      </c>
      <c r="C1838" s="30" t="s">
        <v>38</v>
      </c>
      <c r="D1838" s="29" t="s">
        <v>37</v>
      </c>
      <c r="E1838" s="30" t="s">
        <v>38</v>
      </c>
      <c r="F1838" s="29" t="s">
        <v>37</v>
      </c>
      <c r="G1838" s="30" t="s">
        <v>38</v>
      </c>
      <c r="H1838" s="186" t="s">
        <v>132</v>
      </c>
      <c r="I1838" s="187" t="s">
        <v>133</v>
      </c>
      <c r="J1838" s="44" t="s">
        <v>16</v>
      </c>
      <c r="K1838" s="186" t="s">
        <v>132</v>
      </c>
      <c r="L1838" s="187" t="s">
        <v>133</v>
      </c>
      <c r="M1838" s="44" t="s">
        <v>16</v>
      </c>
      <c r="N1838" s="186" t="s">
        <v>132</v>
      </c>
      <c r="O1838" s="187" t="s">
        <v>133</v>
      </c>
      <c r="P1838" s="44" t="s">
        <v>16</v>
      </c>
      <c r="Q1838" s="186" t="s">
        <v>132</v>
      </c>
      <c r="R1838" s="187" t="s">
        <v>133</v>
      </c>
      <c r="S1838" s="44" t="s">
        <v>16</v>
      </c>
      <c r="T1838" s="186" t="s">
        <v>132</v>
      </c>
      <c r="U1838" s="187" t="s">
        <v>133</v>
      </c>
      <c r="V1838" s="44" t="s">
        <v>16</v>
      </c>
      <c r="W1838" s="186" t="s">
        <v>132</v>
      </c>
      <c r="X1838" s="187" t="s">
        <v>133</v>
      </c>
      <c r="Y1838" s="44" t="s">
        <v>16</v>
      </c>
      <c r="Z1838" s="186" t="s">
        <v>132</v>
      </c>
      <c r="AA1838" s="187" t="s">
        <v>133</v>
      </c>
      <c r="AB1838" s="44" t="s">
        <v>16</v>
      </c>
    </row>
    <row r="1839" spans="1:32" s="41" customFormat="1" x14ac:dyDescent="0.2">
      <c r="A1839" s="98" t="s">
        <v>134</v>
      </c>
      <c r="B1839" s="31">
        <f>COUNTIFS(DATA!$BH$3:$BH$7183,1,DATA!$D$3:$D$7183,260)</f>
        <v>5</v>
      </c>
      <c r="C1839" s="35">
        <f>IF(B1843=0,0,+B1839/B1843)</f>
        <v>0.33333333333333331</v>
      </c>
      <c r="D1839" s="31">
        <f>COUNTIFS(DATA!$BH$3:$BH$7183,1,DATA!$D$3:$D$7183,280)</f>
        <v>6</v>
      </c>
      <c r="E1839" s="35">
        <f>+D1839/D1843</f>
        <v>0.21428571428571427</v>
      </c>
      <c r="F1839" s="31">
        <f>+D1839+B1839</f>
        <v>11</v>
      </c>
      <c r="G1839" s="35">
        <f>+F1839/F1843</f>
        <v>0.2558139534883721</v>
      </c>
      <c r="H1839" s="181">
        <v>0.14285714285714285</v>
      </c>
      <c r="I1839" s="180">
        <v>0.25714285714285712</v>
      </c>
      <c r="J1839" s="182">
        <v>0.22448979591836735</v>
      </c>
      <c r="K1839" s="181">
        <v>0.2</v>
      </c>
      <c r="L1839" s="180">
        <v>0.35555555555555557</v>
      </c>
      <c r="M1839" s="182">
        <v>0.32727272727272727</v>
      </c>
      <c r="N1839" s="181">
        <v>0.44444444444444442</v>
      </c>
      <c r="O1839" s="180">
        <v>0.328125</v>
      </c>
      <c r="P1839" s="182">
        <v>0.35365853658536583</v>
      </c>
      <c r="Q1839" s="181">
        <v>0.43</v>
      </c>
      <c r="R1839" s="180">
        <v>0.35</v>
      </c>
      <c r="S1839" s="182">
        <v>0.38</v>
      </c>
      <c r="T1839" s="181">
        <v>0.5</v>
      </c>
      <c r="U1839" s="180">
        <v>0.2978723404255319</v>
      </c>
      <c r="V1839" s="182">
        <v>0.38554216867469882</v>
      </c>
      <c r="W1839" s="181">
        <v>0.51428571428571423</v>
      </c>
      <c r="X1839" s="180">
        <v>0.35849056603773582</v>
      </c>
      <c r="Y1839" s="182">
        <v>0.42045454545454547</v>
      </c>
      <c r="Z1839" s="181">
        <v>0.39130434782608697</v>
      </c>
      <c r="AA1839" s="180">
        <v>0.30303030303030304</v>
      </c>
      <c r="AB1839" s="182">
        <v>0.3392857142857143</v>
      </c>
    </row>
    <row r="1840" spans="1:32" s="41" customFormat="1" ht="27.75" customHeight="1" x14ac:dyDescent="0.2">
      <c r="A1840" s="99" t="s">
        <v>135</v>
      </c>
      <c r="B1840" s="31">
        <f>COUNTIFS(DATA!$BH$3:$BH$7183,2,DATA!$D$3:$D$7183,260)</f>
        <v>8</v>
      </c>
      <c r="C1840" s="35">
        <f>IF(B1843=0,0,+B1840/B1843)</f>
        <v>0.53333333333333333</v>
      </c>
      <c r="D1840" s="42">
        <f>COUNTIFS(DATA!$BH$3:$BH$7183,2,DATA!$D$3:$D$7183,280)</f>
        <v>14</v>
      </c>
      <c r="E1840" s="35">
        <f>+D1840/D1843</f>
        <v>0.5</v>
      </c>
      <c r="F1840" s="42">
        <f t="shared" ref="F1840:F1842" si="164">+D1840+B1840</f>
        <v>22</v>
      </c>
      <c r="G1840" s="35">
        <f>+F1840/F1843</f>
        <v>0.51162790697674421</v>
      </c>
      <c r="H1840" s="181">
        <v>0.7857142857142857</v>
      </c>
      <c r="I1840" s="180">
        <v>0.37142857142857144</v>
      </c>
      <c r="J1840" s="182">
        <v>0.48979591836734693</v>
      </c>
      <c r="K1840" s="181">
        <v>0.6</v>
      </c>
      <c r="L1840" s="180">
        <v>0.42222222222222222</v>
      </c>
      <c r="M1840" s="182">
        <v>0.45454545454545453</v>
      </c>
      <c r="N1840" s="181">
        <v>0.16666666666666666</v>
      </c>
      <c r="O1840" s="180">
        <v>0.46875</v>
      </c>
      <c r="P1840" s="182">
        <v>0.40243902439024393</v>
      </c>
      <c r="Q1840" s="181">
        <v>0.37</v>
      </c>
      <c r="R1840" s="180">
        <v>0.37</v>
      </c>
      <c r="S1840" s="182">
        <v>0.37</v>
      </c>
      <c r="T1840" s="181">
        <v>0.3611111111111111</v>
      </c>
      <c r="U1840" s="180">
        <v>0.46808510638297873</v>
      </c>
      <c r="V1840" s="182">
        <v>0.42168674698795183</v>
      </c>
      <c r="W1840" s="181">
        <v>0.2857142857142857</v>
      </c>
      <c r="X1840" s="180">
        <v>0.45283018867924529</v>
      </c>
      <c r="Y1840" s="182">
        <v>0.38636363636363635</v>
      </c>
      <c r="Z1840" s="181">
        <v>0.39130434782608697</v>
      </c>
      <c r="AA1840" s="180">
        <v>0.48484848484848486</v>
      </c>
      <c r="AB1840" s="182">
        <v>0.44642857142857145</v>
      </c>
    </row>
    <row r="1841" spans="1:32" s="41" customFormat="1" ht="28.5" customHeight="1" x14ac:dyDescent="0.2">
      <c r="A1841" s="92" t="s">
        <v>94</v>
      </c>
      <c r="B1841" s="31">
        <f>COUNTIFS(DATA!$BH$3:$BH$7183,"3",DATA!$D$3:$D$7183,260)</f>
        <v>2</v>
      </c>
      <c r="C1841" s="35">
        <f>IF(B1843=0,0,+B1841/B1843)</f>
        <v>0.13333333333333333</v>
      </c>
      <c r="D1841" s="42">
        <f>COUNTIFS(DATA!$BH$3:$BH$7183,"3",DATA!$D$3:$D$7183,280)</f>
        <v>5</v>
      </c>
      <c r="E1841" s="35">
        <f>+D1841/D1843</f>
        <v>0.17857142857142858</v>
      </c>
      <c r="F1841" s="42">
        <f t="shared" si="164"/>
        <v>7</v>
      </c>
      <c r="G1841" s="35">
        <f>+F1841/F1843</f>
        <v>0.16279069767441862</v>
      </c>
      <c r="H1841" s="181">
        <v>0</v>
      </c>
      <c r="I1841" s="180">
        <v>0.2857142857142857</v>
      </c>
      <c r="J1841" s="182">
        <v>0.20408163265306123</v>
      </c>
      <c r="K1841" s="181">
        <v>0.2</v>
      </c>
      <c r="L1841" s="180">
        <v>0.15555555555555556</v>
      </c>
      <c r="M1841" s="182">
        <v>0.16363636363636364</v>
      </c>
      <c r="N1841" s="181">
        <v>0.33333333333333331</v>
      </c>
      <c r="O1841" s="180">
        <v>0.15625</v>
      </c>
      <c r="P1841" s="182">
        <v>0.1951219512195122</v>
      </c>
      <c r="Q1841" s="181">
        <v>0.1</v>
      </c>
      <c r="R1841" s="180">
        <v>0.22</v>
      </c>
      <c r="S1841" s="182">
        <v>0.18</v>
      </c>
      <c r="T1841" s="181">
        <v>0.1388888888888889</v>
      </c>
      <c r="U1841" s="180">
        <v>0.1276595744680851</v>
      </c>
      <c r="V1841" s="182">
        <v>0.13253012048192772</v>
      </c>
      <c r="W1841" s="181">
        <v>0.2</v>
      </c>
      <c r="X1841" s="180">
        <v>0.13207547169811321</v>
      </c>
      <c r="Y1841" s="182">
        <v>0.15909090909090909</v>
      </c>
      <c r="Z1841" s="181">
        <v>8.6956521739130432E-2</v>
      </c>
      <c r="AA1841" s="180">
        <v>0.18181818181818182</v>
      </c>
      <c r="AB1841" s="182">
        <v>0.14285714285714285</v>
      </c>
    </row>
    <row r="1842" spans="1:32" s="41" customFormat="1" ht="15" thickBot="1" x14ac:dyDescent="0.25">
      <c r="A1842" s="93" t="s">
        <v>39</v>
      </c>
      <c r="B1842" s="31">
        <f>COUNTIFS(DATA!$BH$3:$BH$7183,"4",DATA!$D$3:$D$7183,260)</f>
        <v>0</v>
      </c>
      <c r="C1842" s="35">
        <f>IF(B1843=0,0,+B1842/B1843)</f>
        <v>0</v>
      </c>
      <c r="D1842" s="42">
        <f>COUNTIFS(DATA!$BH$3:$BH$7183,"4",DATA!$D$3:$D$7183,280)</f>
        <v>3</v>
      </c>
      <c r="E1842" s="35">
        <f>+D1842/D1843</f>
        <v>0.10714285714285714</v>
      </c>
      <c r="F1842" s="42">
        <f t="shared" si="164"/>
        <v>3</v>
      </c>
      <c r="G1842" s="35">
        <f>+F1842/F1843</f>
        <v>6.9767441860465115E-2</v>
      </c>
      <c r="H1842" s="181">
        <v>7.1428571428571425E-2</v>
      </c>
      <c r="I1842" s="180">
        <v>8.5714285714285715E-2</v>
      </c>
      <c r="J1842" s="182">
        <v>8.1632653061224483E-2</v>
      </c>
      <c r="K1842" s="181">
        <v>0</v>
      </c>
      <c r="L1842" s="180">
        <v>6.6666666666666666E-2</v>
      </c>
      <c r="M1842" s="182">
        <v>5.4545454545454543E-2</v>
      </c>
      <c r="N1842" s="181">
        <v>5.5555555555555552E-2</v>
      </c>
      <c r="O1842" s="180">
        <v>4.6875E-2</v>
      </c>
      <c r="P1842" s="182">
        <v>4.878048780487805E-2</v>
      </c>
      <c r="Q1842" s="181">
        <v>0.1</v>
      </c>
      <c r="R1842" s="180">
        <v>0.06</v>
      </c>
      <c r="S1842" s="182">
        <v>0.08</v>
      </c>
      <c r="T1842" s="181">
        <v>0</v>
      </c>
      <c r="U1842" s="180">
        <v>0.10638297872340426</v>
      </c>
      <c r="V1842" s="182">
        <v>6.0240963855421686E-2</v>
      </c>
      <c r="W1842" s="181">
        <v>0</v>
      </c>
      <c r="X1842" s="180">
        <v>5.6603773584905662E-2</v>
      </c>
      <c r="Y1842" s="182">
        <v>3.4090909090909088E-2</v>
      </c>
      <c r="Z1842" s="181">
        <v>0.13043478260869565</v>
      </c>
      <c r="AA1842" s="180">
        <v>3.0303030303030304E-2</v>
      </c>
      <c r="AB1842" s="182">
        <v>7.1428571428571425E-2</v>
      </c>
      <c r="AC1842" s="74"/>
      <c r="AF1842" s="162"/>
    </row>
    <row r="1843" spans="1:32" s="41" customFormat="1" ht="15.75" thickBot="1" x14ac:dyDescent="0.3">
      <c r="A1843" s="111" t="s">
        <v>16</v>
      </c>
      <c r="B1843" s="101">
        <f>SUM(B1839:B1842)</f>
        <v>15</v>
      </c>
      <c r="C1843" s="114">
        <f>IF(B1843=0,0,+B1843/B1843)</f>
        <v>1</v>
      </c>
      <c r="D1843" s="101">
        <f>SUM(D1839:D1842)</f>
        <v>28</v>
      </c>
      <c r="E1843" s="114">
        <f>+D1843/D1843</f>
        <v>1</v>
      </c>
      <c r="F1843" s="101">
        <f>SUM(F1839:F1842)</f>
        <v>43</v>
      </c>
      <c r="G1843" s="114">
        <f>+F1843/F1843</f>
        <v>1</v>
      </c>
      <c r="H1843" s="183">
        <v>1</v>
      </c>
      <c r="I1843" s="184">
        <v>1</v>
      </c>
      <c r="J1843" s="185">
        <v>1</v>
      </c>
      <c r="K1843" s="183">
        <v>1</v>
      </c>
      <c r="L1843" s="184">
        <v>1</v>
      </c>
      <c r="M1843" s="185">
        <v>1</v>
      </c>
      <c r="N1843" s="183">
        <v>1</v>
      </c>
      <c r="O1843" s="184">
        <v>1</v>
      </c>
      <c r="P1843" s="185">
        <v>1</v>
      </c>
      <c r="Q1843" s="183">
        <v>1</v>
      </c>
      <c r="R1843" s="184">
        <v>1</v>
      </c>
      <c r="S1843" s="185">
        <v>1</v>
      </c>
      <c r="T1843" s="183">
        <v>1</v>
      </c>
      <c r="U1843" s="184">
        <v>1</v>
      </c>
      <c r="V1843" s="185">
        <v>1</v>
      </c>
      <c r="W1843" s="183">
        <v>1</v>
      </c>
      <c r="X1843" s="184">
        <v>1</v>
      </c>
      <c r="Y1843" s="185">
        <v>1</v>
      </c>
      <c r="Z1843" s="183">
        <v>1</v>
      </c>
      <c r="AA1843" s="184">
        <v>1</v>
      </c>
      <c r="AB1843" s="185">
        <v>1</v>
      </c>
      <c r="AF1843" s="162"/>
    </row>
    <row r="1844" spans="1:32" s="41" customFormat="1" x14ac:dyDescent="0.2">
      <c r="N1844" s="162"/>
    </row>
    <row r="1845" spans="1:32" s="41" customFormat="1" ht="14.25" customHeight="1" x14ac:dyDescent="0.2">
      <c r="K1845" s="280" t="s">
        <v>7250</v>
      </c>
      <c r="L1845" s="280"/>
      <c r="M1845" s="280"/>
      <c r="N1845" s="280"/>
      <c r="O1845" s="280"/>
      <c r="P1845" s="280"/>
      <c r="Q1845" s="280"/>
      <c r="R1845" s="280"/>
    </row>
    <row r="1846" spans="1:32" s="41" customFormat="1" x14ac:dyDescent="0.2">
      <c r="K1846" s="280"/>
      <c r="L1846" s="280"/>
      <c r="M1846" s="280"/>
      <c r="N1846" s="280"/>
      <c r="O1846" s="280"/>
      <c r="P1846" s="280"/>
      <c r="Q1846" s="280"/>
      <c r="R1846" s="280"/>
    </row>
    <row r="1847" spans="1:32" s="41" customFormat="1" ht="14.25" customHeight="1" x14ac:dyDescent="0.2">
      <c r="K1847" s="219" t="s">
        <v>7248</v>
      </c>
      <c r="L1847" s="219"/>
      <c r="M1847" s="219"/>
      <c r="N1847" s="219"/>
      <c r="O1847" s="219"/>
      <c r="P1847" s="219"/>
      <c r="Q1847" s="219"/>
      <c r="R1847" s="219"/>
    </row>
    <row r="1848" spans="1:32" s="41" customFormat="1" x14ac:dyDescent="0.2">
      <c r="K1848" s="219"/>
      <c r="L1848" s="219"/>
      <c r="M1848" s="219"/>
      <c r="N1848" s="219"/>
      <c r="O1848" s="219"/>
      <c r="P1848" s="219"/>
      <c r="Q1848" s="219"/>
      <c r="R1848" s="219"/>
    </row>
    <row r="1849" spans="1:32" s="41" customFormat="1" ht="14.25" customHeight="1" x14ac:dyDescent="0.2">
      <c r="K1849" s="215" t="s">
        <v>7249</v>
      </c>
      <c r="L1849" s="215"/>
      <c r="M1849" s="215"/>
      <c r="N1849" s="215"/>
      <c r="O1849" s="215"/>
      <c r="P1849" s="215"/>
      <c r="Q1849" s="215"/>
      <c r="R1849" s="215"/>
    </row>
    <row r="1850" spans="1:32" s="41" customFormat="1" x14ac:dyDescent="0.2">
      <c r="K1850" s="215"/>
      <c r="L1850" s="215"/>
      <c r="M1850" s="215"/>
      <c r="N1850" s="215"/>
      <c r="O1850" s="215"/>
      <c r="P1850" s="215"/>
      <c r="Q1850" s="215"/>
      <c r="R1850" s="215"/>
    </row>
    <row r="1851" spans="1:32" s="41" customFormat="1" x14ac:dyDescent="0.2">
      <c r="N1851" s="162"/>
    </row>
    <row r="1852" spans="1:32" s="41" customFormat="1" x14ac:dyDescent="0.2">
      <c r="N1852" s="162"/>
    </row>
    <row r="1853" spans="1:32" s="41" customFormat="1" x14ac:dyDescent="0.2">
      <c r="N1853" s="162"/>
    </row>
    <row r="1854" spans="1:32" s="41" customFormat="1" x14ac:dyDescent="0.2">
      <c r="N1854" s="162"/>
    </row>
    <row r="1855" spans="1:32" s="41" customFormat="1" x14ac:dyDescent="0.2">
      <c r="N1855" s="162"/>
    </row>
    <row r="1856" spans="1:32" s="41" customFormat="1" x14ac:dyDescent="0.2">
      <c r="N1856" s="162"/>
    </row>
    <row r="1857" spans="1:32" s="41" customFormat="1" x14ac:dyDescent="0.2">
      <c r="N1857" s="162"/>
    </row>
    <row r="1858" spans="1:32" s="41" customFormat="1" x14ac:dyDescent="0.2">
      <c r="N1858" s="162"/>
    </row>
    <row r="1859" spans="1:32" s="41" customFormat="1" x14ac:dyDescent="0.2">
      <c r="N1859" s="162"/>
    </row>
    <row r="1860" spans="1:32" s="41" customFormat="1" x14ac:dyDescent="0.2">
      <c r="N1860" s="162"/>
    </row>
    <row r="1861" spans="1:32" s="41" customFormat="1" x14ac:dyDescent="0.2">
      <c r="N1861" s="162"/>
    </row>
    <row r="1862" spans="1:32" s="41" customFormat="1" x14ac:dyDescent="0.2">
      <c r="N1862" s="162"/>
    </row>
    <row r="1863" spans="1:32" s="41" customFormat="1" x14ac:dyDescent="0.2">
      <c r="N1863" s="162"/>
    </row>
    <row r="1864" spans="1:32" s="41" customFormat="1" x14ac:dyDescent="0.2">
      <c r="N1864" s="162"/>
    </row>
    <row r="1865" spans="1:32" s="41" customFormat="1" x14ac:dyDescent="0.2">
      <c r="N1865" s="162"/>
    </row>
    <row r="1866" spans="1:32" s="41" customFormat="1" x14ac:dyDescent="0.2">
      <c r="N1866" s="162"/>
    </row>
    <row r="1867" spans="1:32" s="41" customFormat="1" x14ac:dyDescent="0.2">
      <c r="N1867" s="162"/>
    </row>
    <row r="1868" spans="1:32" s="41" customFormat="1" x14ac:dyDescent="0.2">
      <c r="N1868" s="162"/>
    </row>
    <row r="1869" spans="1:32" s="41" customFormat="1" x14ac:dyDescent="0.2">
      <c r="N1869" s="162"/>
    </row>
    <row r="1870" spans="1:32" s="41" customFormat="1" ht="15" thickBot="1" x14ac:dyDescent="0.25">
      <c r="N1870" s="162"/>
    </row>
    <row r="1871" spans="1:32" s="41" customFormat="1" ht="42" customHeight="1" thickBot="1" x14ac:dyDescent="0.25">
      <c r="A1871" s="240" t="s">
        <v>175</v>
      </c>
      <c r="B1871" s="241"/>
      <c r="C1871" s="241"/>
      <c r="D1871" s="241"/>
      <c r="E1871" s="241"/>
      <c r="F1871" s="241"/>
      <c r="G1871" s="242"/>
      <c r="H1871" s="74"/>
      <c r="I1871" s="74"/>
      <c r="J1871" s="74"/>
      <c r="K1871" s="74"/>
      <c r="N1871" s="162"/>
    </row>
    <row r="1872" spans="1:32" s="41" customFormat="1" ht="15.75" thickBot="1" x14ac:dyDescent="0.3">
      <c r="A1872" s="28"/>
      <c r="B1872" s="234" t="str">
        <f>+B73</f>
        <v>Successful</v>
      </c>
      <c r="C1872" s="235"/>
      <c r="D1872" s="236" t="str">
        <f>+D73</f>
        <v>Unsuccessful</v>
      </c>
      <c r="E1872" s="237"/>
      <c r="F1872" s="238" t="s">
        <v>16</v>
      </c>
      <c r="G1872" s="239"/>
      <c r="H1872" s="206">
        <f>+H73</f>
        <v>2021</v>
      </c>
      <c r="I1872" s="207"/>
      <c r="J1872" s="208"/>
      <c r="K1872" s="206">
        <f>+K73</f>
        <v>2020</v>
      </c>
      <c r="L1872" s="207"/>
      <c r="M1872" s="208"/>
      <c r="N1872" s="206">
        <f>+N73</f>
        <v>2019</v>
      </c>
      <c r="O1872" s="207"/>
      <c r="P1872" s="208"/>
      <c r="Q1872" s="206">
        <f>+Q73</f>
        <v>2018</v>
      </c>
      <c r="R1872" s="207"/>
      <c r="S1872" s="208"/>
      <c r="T1872" s="206">
        <f>+T73</f>
        <v>2017</v>
      </c>
      <c r="U1872" s="207"/>
      <c r="V1872" s="208"/>
      <c r="W1872" s="209">
        <f>+W73</f>
        <v>2016</v>
      </c>
      <c r="X1872" s="210"/>
      <c r="Y1872" s="211"/>
      <c r="Z1872" s="209">
        <f>+Z73</f>
        <v>2015</v>
      </c>
      <c r="AA1872" s="210"/>
      <c r="AB1872" s="211"/>
      <c r="AC1872" s="165"/>
      <c r="AF1872" s="162"/>
    </row>
    <row r="1873" spans="1:32" s="41" customFormat="1" ht="29.25" customHeight="1" thickBot="1" x14ac:dyDescent="0.25">
      <c r="A1873" s="28"/>
      <c r="B1873" s="29" t="s">
        <v>37</v>
      </c>
      <c r="C1873" s="30" t="s">
        <v>38</v>
      </c>
      <c r="D1873" s="29" t="s">
        <v>37</v>
      </c>
      <c r="E1873" s="30" t="s">
        <v>38</v>
      </c>
      <c r="F1873" s="29" t="s">
        <v>37</v>
      </c>
      <c r="G1873" s="30" t="s">
        <v>38</v>
      </c>
      <c r="H1873" s="186" t="s">
        <v>132</v>
      </c>
      <c r="I1873" s="187" t="s">
        <v>133</v>
      </c>
      <c r="J1873" s="44" t="s">
        <v>16</v>
      </c>
      <c r="K1873" s="186" t="s">
        <v>132</v>
      </c>
      <c r="L1873" s="187" t="s">
        <v>133</v>
      </c>
      <c r="M1873" s="44" t="s">
        <v>16</v>
      </c>
      <c r="N1873" s="186" t="s">
        <v>132</v>
      </c>
      <c r="O1873" s="187" t="s">
        <v>133</v>
      </c>
      <c r="P1873" s="44" t="s">
        <v>16</v>
      </c>
      <c r="Q1873" s="186" t="s">
        <v>132</v>
      </c>
      <c r="R1873" s="187" t="s">
        <v>133</v>
      </c>
      <c r="S1873" s="44" t="s">
        <v>16</v>
      </c>
      <c r="T1873" s="186" t="s">
        <v>132</v>
      </c>
      <c r="U1873" s="187" t="s">
        <v>133</v>
      </c>
      <c r="V1873" s="44" t="s">
        <v>16</v>
      </c>
      <c r="W1873" s="186" t="s">
        <v>132</v>
      </c>
      <c r="X1873" s="187" t="s">
        <v>133</v>
      </c>
      <c r="Y1873" s="44" t="s">
        <v>16</v>
      </c>
      <c r="Z1873" s="186" t="s">
        <v>132</v>
      </c>
      <c r="AA1873" s="187" t="s">
        <v>133</v>
      </c>
      <c r="AB1873" s="44" t="s">
        <v>16</v>
      </c>
    </row>
    <row r="1874" spans="1:32" s="41" customFormat="1" x14ac:dyDescent="0.2">
      <c r="A1874" s="98" t="s">
        <v>134</v>
      </c>
      <c r="B1874" s="31">
        <f>COUNTIFS(DATA!$BI$3:$BI$7183,1,DATA!$D$3:$D$7183,260)</f>
        <v>6</v>
      </c>
      <c r="C1874" s="35">
        <f>IF(B1878=0,0,+B1874/B1878)</f>
        <v>0.4</v>
      </c>
      <c r="D1874" s="31">
        <f>COUNTIFS(DATA!$BI$3:$BI$7183,1,DATA!$D$3:$D$7183,280)</f>
        <v>2</v>
      </c>
      <c r="E1874" s="35">
        <f>+D1874/D1878</f>
        <v>7.1428571428571425E-2</v>
      </c>
      <c r="F1874" s="31">
        <f>+D1874+B1874</f>
        <v>8</v>
      </c>
      <c r="G1874" s="35">
        <f>+F1874/F1878</f>
        <v>0.18604651162790697</v>
      </c>
      <c r="H1874" s="181">
        <v>0.35714285714285715</v>
      </c>
      <c r="I1874" s="180">
        <v>0.2</v>
      </c>
      <c r="J1874" s="182">
        <v>0.24489795918367346</v>
      </c>
      <c r="K1874" s="181">
        <v>0.2</v>
      </c>
      <c r="L1874" s="180">
        <v>0.15555555555555556</v>
      </c>
      <c r="M1874" s="182">
        <v>0.16363636363636364</v>
      </c>
      <c r="N1874" s="181">
        <v>0.27777777777777779</v>
      </c>
      <c r="O1874" s="180">
        <v>0.15625</v>
      </c>
      <c r="P1874" s="182">
        <v>0.18292682926829268</v>
      </c>
      <c r="Q1874" s="181">
        <v>0.27</v>
      </c>
      <c r="R1874" s="180">
        <v>0.18</v>
      </c>
      <c r="S1874" s="182">
        <v>0.22</v>
      </c>
      <c r="T1874" s="181">
        <v>0.30555555555555558</v>
      </c>
      <c r="U1874" s="180">
        <v>0.1276595744680851</v>
      </c>
      <c r="V1874" s="182">
        <v>0.20481927710843373</v>
      </c>
      <c r="W1874" s="181">
        <v>0.31428571428571428</v>
      </c>
      <c r="X1874" s="180">
        <v>0.16981132075471697</v>
      </c>
      <c r="Y1874" s="182">
        <v>0.22727272727272727</v>
      </c>
      <c r="Z1874" s="181">
        <v>0.13043478260869565</v>
      </c>
      <c r="AA1874" s="180">
        <v>9.0909090909090912E-2</v>
      </c>
      <c r="AB1874" s="182">
        <v>0.10714285714285714</v>
      </c>
    </row>
    <row r="1875" spans="1:32" s="41" customFormat="1" ht="27.75" customHeight="1" x14ac:dyDescent="0.2">
      <c r="A1875" s="99" t="s">
        <v>135</v>
      </c>
      <c r="B1875" s="31">
        <f>COUNTIFS(DATA!$BI$3:$BI$7183,2,DATA!$D$3:$D$7183,260)</f>
        <v>6</v>
      </c>
      <c r="C1875" s="35">
        <f>IF(B1878=0,0,+B1875/B1878)</f>
        <v>0.4</v>
      </c>
      <c r="D1875" s="42">
        <f>COUNTIFS(DATA!$BI$3:$BI$7183,2,DATA!$D$3:$D$7183,280)</f>
        <v>12</v>
      </c>
      <c r="E1875" s="35">
        <f>+D1875/D1878</f>
        <v>0.42857142857142855</v>
      </c>
      <c r="F1875" s="42">
        <f t="shared" ref="F1875:F1877" si="165">+D1875+B1875</f>
        <v>18</v>
      </c>
      <c r="G1875" s="35">
        <f>+F1875/F1878</f>
        <v>0.41860465116279072</v>
      </c>
      <c r="H1875" s="181">
        <v>0.2857142857142857</v>
      </c>
      <c r="I1875" s="180">
        <v>0.25714285714285712</v>
      </c>
      <c r="J1875" s="182">
        <v>0.26530612244897961</v>
      </c>
      <c r="K1875" s="181">
        <v>0.4</v>
      </c>
      <c r="L1875" s="180">
        <v>0.35555555555555557</v>
      </c>
      <c r="M1875" s="182">
        <v>0.36363636363636365</v>
      </c>
      <c r="N1875" s="181">
        <v>0.27777777777777779</v>
      </c>
      <c r="O1875" s="180">
        <v>0.375</v>
      </c>
      <c r="P1875" s="182">
        <v>0.35365853658536583</v>
      </c>
      <c r="Q1875" s="181">
        <v>0.4</v>
      </c>
      <c r="R1875" s="180">
        <v>0.28999999999999998</v>
      </c>
      <c r="S1875" s="182">
        <v>0.33</v>
      </c>
      <c r="T1875" s="181">
        <v>0.3888888888888889</v>
      </c>
      <c r="U1875" s="180">
        <v>0.46808510638297873</v>
      </c>
      <c r="V1875" s="182">
        <v>0.43373493975903615</v>
      </c>
      <c r="W1875" s="181">
        <v>0.2</v>
      </c>
      <c r="X1875" s="180">
        <v>0.47169811320754718</v>
      </c>
      <c r="Y1875" s="182">
        <v>0.36363636363636365</v>
      </c>
      <c r="Z1875" s="181">
        <v>0.52173913043478259</v>
      </c>
      <c r="AA1875" s="180">
        <v>0.5757575757575758</v>
      </c>
      <c r="AB1875" s="182">
        <v>0.5535714285714286</v>
      </c>
    </row>
    <row r="1876" spans="1:32" s="41" customFormat="1" ht="29.25" customHeight="1" x14ac:dyDescent="0.2">
      <c r="A1876" s="92" t="s">
        <v>94</v>
      </c>
      <c r="B1876" s="31">
        <f>COUNTIFS(DATA!$BI$3:$BI$7183,"3",DATA!$D$3:$D$7183,260)</f>
        <v>3</v>
      </c>
      <c r="C1876" s="35">
        <f>IF(B1878=0,0,+B1876/B1878)</f>
        <v>0.2</v>
      </c>
      <c r="D1876" s="42">
        <f>COUNTIFS(DATA!$BI$3:$BI$7183,"3",DATA!$D$3:$D$7183,280)</f>
        <v>11</v>
      </c>
      <c r="E1876" s="35">
        <f>+D1876/D1878</f>
        <v>0.39285714285714285</v>
      </c>
      <c r="F1876" s="42">
        <f t="shared" si="165"/>
        <v>14</v>
      </c>
      <c r="G1876" s="35">
        <f>+F1876/F1878</f>
        <v>0.32558139534883723</v>
      </c>
      <c r="H1876" s="181">
        <v>0.2857142857142857</v>
      </c>
      <c r="I1876" s="180">
        <v>0.45714285714285713</v>
      </c>
      <c r="J1876" s="182">
        <v>0.40816326530612246</v>
      </c>
      <c r="K1876" s="181">
        <v>0.4</v>
      </c>
      <c r="L1876" s="180">
        <v>0.37777777777777777</v>
      </c>
      <c r="M1876" s="182">
        <v>0.38181818181818183</v>
      </c>
      <c r="N1876" s="181">
        <v>0.3888888888888889</v>
      </c>
      <c r="O1876" s="180">
        <v>0.328125</v>
      </c>
      <c r="P1876" s="182">
        <v>0.34146341463414637</v>
      </c>
      <c r="Q1876" s="181">
        <v>0.23</v>
      </c>
      <c r="R1876" s="180">
        <v>0.47</v>
      </c>
      <c r="S1876" s="182">
        <v>0.38</v>
      </c>
      <c r="T1876" s="181">
        <v>0.30555555555555558</v>
      </c>
      <c r="U1876" s="180">
        <v>0.2978723404255319</v>
      </c>
      <c r="V1876" s="182">
        <v>0.30120481927710846</v>
      </c>
      <c r="W1876" s="181">
        <v>0.48571428571428571</v>
      </c>
      <c r="X1876" s="180">
        <v>0.30188679245283018</v>
      </c>
      <c r="Y1876" s="182">
        <v>0.375</v>
      </c>
      <c r="Z1876" s="181">
        <v>0.21739130434782608</v>
      </c>
      <c r="AA1876" s="180">
        <v>0.30303030303030304</v>
      </c>
      <c r="AB1876" s="182">
        <v>0.26785714285714285</v>
      </c>
    </row>
    <row r="1877" spans="1:32" s="41" customFormat="1" ht="15" thickBot="1" x14ac:dyDescent="0.25">
      <c r="A1877" s="93" t="s">
        <v>39</v>
      </c>
      <c r="B1877" s="31">
        <f>COUNTIFS(DATA!$BI$3:$BI$7183,"4",DATA!$D$3:$D$7183,260)</f>
        <v>0</v>
      </c>
      <c r="C1877" s="35">
        <f>IF(B1878=0,0,+B1877/B1878)</f>
        <v>0</v>
      </c>
      <c r="D1877" s="42">
        <f>COUNTIFS(DATA!$BI$3:$BI$7183,"4",DATA!$D$3:$D$7183,280)</f>
        <v>3</v>
      </c>
      <c r="E1877" s="35">
        <f>+D1877/D1878</f>
        <v>0.10714285714285714</v>
      </c>
      <c r="F1877" s="42">
        <f t="shared" si="165"/>
        <v>3</v>
      </c>
      <c r="G1877" s="35">
        <f>+F1877/F1878</f>
        <v>6.9767441860465115E-2</v>
      </c>
      <c r="H1877" s="181">
        <v>7.1428571428571425E-2</v>
      </c>
      <c r="I1877" s="180">
        <v>8.5714285714285715E-2</v>
      </c>
      <c r="J1877" s="182">
        <v>8.1632653061224483E-2</v>
      </c>
      <c r="K1877" s="181">
        <v>0</v>
      </c>
      <c r="L1877" s="180">
        <v>0.1111111111111111</v>
      </c>
      <c r="M1877" s="182">
        <v>9.0909090909090912E-2</v>
      </c>
      <c r="N1877" s="181">
        <v>5.5555555555555552E-2</v>
      </c>
      <c r="O1877" s="180">
        <v>0.140625</v>
      </c>
      <c r="P1877" s="182">
        <v>0.12195121951219512</v>
      </c>
      <c r="Q1877" s="181">
        <v>0.1</v>
      </c>
      <c r="R1877" s="180">
        <v>0.06</v>
      </c>
      <c r="S1877" s="182">
        <v>0.08</v>
      </c>
      <c r="T1877" s="181">
        <v>0</v>
      </c>
      <c r="U1877" s="180">
        <v>0.10638297872340426</v>
      </c>
      <c r="V1877" s="182">
        <v>6.0240963855421686E-2</v>
      </c>
      <c r="W1877" s="181">
        <v>0</v>
      </c>
      <c r="X1877" s="180">
        <v>5.6603773584905662E-2</v>
      </c>
      <c r="Y1877" s="182">
        <v>3.4090909090909088E-2</v>
      </c>
      <c r="Z1877" s="181">
        <v>0.13043478260869565</v>
      </c>
      <c r="AA1877" s="180">
        <v>3.0303030303030304E-2</v>
      </c>
      <c r="AB1877" s="182">
        <v>7.1428571428571425E-2</v>
      </c>
      <c r="AC1877" s="74"/>
      <c r="AF1877" s="162"/>
    </row>
    <row r="1878" spans="1:32" s="41" customFormat="1" ht="15.75" thickBot="1" x14ac:dyDescent="0.3">
      <c r="A1878" s="111" t="s">
        <v>16</v>
      </c>
      <c r="B1878" s="101">
        <f>SUM(B1874:B1877)</f>
        <v>15</v>
      </c>
      <c r="C1878" s="114">
        <f>IF(B1878=0,0,+B1878/B1878)</f>
        <v>1</v>
      </c>
      <c r="D1878" s="101">
        <f>SUM(D1874:D1877)</f>
        <v>28</v>
      </c>
      <c r="E1878" s="114">
        <f>+D1878/D1878</f>
        <v>1</v>
      </c>
      <c r="F1878" s="101">
        <f>SUM(F1874:F1877)</f>
        <v>43</v>
      </c>
      <c r="G1878" s="114">
        <f>+F1878/F1878</f>
        <v>1</v>
      </c>
      <c r="H1878" s="183">
        <v>1</v>
      </c>
      <c r="I1878" s="184">
        <v>1</v>
      </c>
      <c r="J1878" s="185">
        <v>1</v>
      </c>
      <c r="K1878" s="183">
        <v>1</v>
      </c>
      <c r="L1878" s="184">
        <v>1</v>
      </c>
      <c r="M1878" s="185">
        <v>1</v>
      </c>
      <c r="N1878" s="183">
        <v>1</v>
      </c>
      <c r="O1878" s="184">
        <v>1</v>
      </c>
      <c r="P1878" s="185">
        <v>1</v>
      </c>
      <c r="Q1878" s="183">
        <v>1</v>
      </c>
      <c r="R1878" s="184">
        <v>1</v>
      </c>
      <c r="S1878" s="185">
        <v>1</v>
      </c>
      <c r="T1878" s="183">
        <v>1</v>
      </c>
      <c r="U1878" s="184">
        <v>1</v>
      </c>
      <c r="V1878" s="185">
        <v>1</v>
      </c>
      <c r="W1878" s="183">
        <v>1</v>
      </c>
      <c r="X1878" s="184">
        <v>1</v>
      </c>
      <c r="Y1878" s="185">
        <v>1</v>
      </c>
      <c r="Z1878" s="183">
        <v>1</v>
      </c>
      <c r="AA1878" s="184">
        <v>1</v>
      </c>
      <c r="AB1878" s="185">
        <v>1</v>
      </c>
      <c r="AF1878" s="162"/>
    </row>
    <row r="1879" spans="1:32" s="41" customFormat="1" x14ac:dyDescent="0.2">
      <c r="N1879" s="162"/>
    </row>
    <row r="1880" spans="1:32" s="41" customFormat="1" ht="14.25" customHeight="1" x14ac:dyDescent="0.2">
      <c r="K1880" s="213" t="s">
        <v>187</v>
      </c>
      <c r="L1880" s="213"/>
      <c r="M1880" s="213"/>
      <c r="N1880" s="213"/>
      <c r="O1880" s="213"/>
      <c r="P1880" s="213"/>
      <c r="Q1880" s="213"/>
      <c r="R1880" s="213"/>
    </row>
    <row r="1881" spans="1:32" s="41" customFormat="1" x14ac:dyDescent="0.2">
      <c r="K1881" s="213"/>
      <c r="L1881" s="213"/>
      <c r="M1881" s="213"/>
      <c r="N1881" s="213"/>
      <c r="O1881" s="213"/>
      <c r="P1881" s="213"/>
      <c r="Q1881" s="213"/>
      <c r="R1881" s="213"/>
    </row>
    <row r="1882" spans="1:32" s="41" customFormat="1" ht="14.25" customHeight="1" x14ac:dyDescent="0.2">
      <c r="K1882" s="219" t="s">
        <v>7251</v>
      </c>
      <c r="L1882" s="219"/>
      <c r="M1882" s="219"/>
      <c r="N1882" s="219"/>
      <c r="O1882" s="219"/>
      <c r="P1882" s="219"/>
      <c r="Q1882" s="219"/>
      <c r="R1882" s="219"/>
    </row>
    <row r="1883" spans="1:32" s="41" customFormat="1" x14ac:dyDescent="0.2">
      <c r="K1883" s="219"/>
      <c r="L1883" s="219"/>
      <c r="M1883" s="219"/>
      <c r="N1883" s="219"/>
      <c r="O1883" s="219"/>
      <c r="P1883" s="219"/>
      <c r="Q1883" s="219"/>
      <c r="R1883" s="219"/>
    </row>
    <row r="1884" spans="1:32" s="41" customFormat="1" ht="14.25" customHeight="1" x14ac:dyDescent="0.2">
      <c r="K1884" s="215" t="s">
        <v>7252</v>
      </c>
      <c r="L1884" s="215"/>
      <c r="M1884" s="215"/>
      <c r="N1884" s="215"/>
      <c r="O1884" s="215"/>
      <c r="P1884" s="215"/>
      <c r="Q1884" s="215"/>
      <c r="R1884" s="215"/>
    </row>
    <row r="1885" spans="1:32" s="41" customFormat="1" x14ac:dyDescent="0.2">
      <c r="K1885" s="215"/>
      <c r="L1885" s="215"/>
      <c r="M1885" s="215"/>
      <c r="N1885" s="215"/>
      <c r="O1885" s="215"/>
      <c r="P1885" s="215"/>
      <c r="Q1885" s="215"/>
      <c r="R1885" s="215"/>
    </row>
    <row r="1886" spans="1:32" s="41" customFormat="1" x14ac:dyDescent="0.2">
      <c r="N1886" s="162"/>
    </row>
    <row r="1887" spans="1:32" s="41" customFormat="1" x14ac:dyDescent="0.2">
      <c r="N1887" s="162"/>
    </row>
    <row r="1888" spans="1:32" s="41" customFormat="1" x14ac:dyDescent="0.2">
      <c r="N1888" s="162"/>
    </row>
    <row r="1889" spans="14:14" s="41" customFormat="1" x14ac:dyDescent="0.2">
      <c r="N1889" s="162"/>
    </row>
    <row r="1890" spans="14:14" s="41" customFormat="1" x14ac:dyDescent="0.2">
      <c r="N1890" s="162"/>
    </row>
    <row r="1891" spans="14:14" s="41" customFormat="1" x14ac:dyDescent="0.2">
      <c r="N1891" s="162"/>
    </row>
    <row r="1892" spans="14:14" s="41" customFormat="1" x14ac:dyDescent="0.2">
      <c r="N1892" s="162"/>
    </row>
    <row r="1893" spans="14:14" s="41" customFormat="1" x14ac:dyDescent="0.2">
      <c r="N1893" s="162"/>
    </row>
    <row r="1894" spans="14:14" s="41" customFormat="1" x14ac:dyDescent="0.2">
      <c r="N1894" s="162"/>
    </row>
    <row r="1895" spans="14:14" s="41" customFormat="1" x14ac:dyDescent="0.2">
      <c r="N1895" s="162"/>
    </row>
    <row r="1896" spans="14:14" s="41" customFormat="1" x14ac:dyDescent="0.2">
      <c r="N1896" s="162"/>
    </row>
    <row r="1897" spans="14:14" s="41" customFormat="1" x14ac:dyDescent="0.2">
      <c r="N1897" s="162"/>
    </row>
    <row r="1898" spans="14:14" s="41" customFormat="1" x14ac:dyDescent="0.2">
      <c r="N1898" s="162"/>
    </row>
    <row r="1899" spans="14:14" s="41" customFormat="1" x14ac:dyDescent="0.2">
      <c r="N1899" s="162"/>
    </row>
    <row r="1900" spans="14:14" s="41" customFormat="1" x14ac:dyDescent="0.2">
      <c r="N1900" s="162"/>
    </row>
    <row r="1901" spans="14:14" s="41" customFormat="1" x14ac:dyDescent="0.2">
      <c r="N1901" s="162"/>
    </row>
    <row r="1902" spans="14:14" s="41" customFormat="1" x14ac:dyDescent="0.2">
      <c r="N1902" s="162"/>
    </row>
    <row r="1903" spans="14:14" s="41" customFormat="1" x14ac:dyDescent="0.2">
      <c r="N1903" s="162"/>
    </row>
    <row r="1904" spans="14:14" s="41" customFormat="1" x14ac:dyDescent="0.2">
      <c r="N1904" s="162"/>
    </row>
    <row r="1905" spans="1:36" s="41" customFormat="1" ht="15" thickBot="1" x14ac:dyDescent="0.25">
      <c r="N1905" s="162"/>
    </row>
    <row r="1906" spans="1:36" s="41" customFormat="1" ht="42" customHeight="1" thickBot="1" x14ac:dyDescent="0.25">
      <c r="A1906" s="240" t="s">
        <v>178</v>
      </c>
      <c r="B1906" s="241"/>
      <c r="C1906" s="241"/>
      <c r="D1906" s="241"/>
      <c r="E1906" s="241"/>
      <c r="F1906" s="241"/>
      <c r="G1906" s="242"/>
      <c r="H1906" s="74"/>
      <c r="I1906" s="74"/>
      <c r="J1906" s="74"/>
      <c r="K1906" s="74"/>
      <c r="N1906" s="162"/>
    </row>
    <row r="1907" spans="1:36" s="41" customFormat="1" ht="15.75" thickBot="1" x14ac:dyDescent="0.3">
      <c r="A1907" s="28"/>
      <c r="B1907" s="234" t="str">
        <f>+B73</f>
        <v>Successful</v>
      </c>
      <c r="C1907" s="235"/>
      <c r="D1907" s="236" t="str">
        <f>+D73</f>
        <v>Unsuccessful</v>
      </c>
      <c r="E1907" s="237"/>
      <c r="F1907" s="238" t="s">
        <v>16</v>
      </c>
      <c r="G1907" s="239"/>
      <c r="H1907" s="206">
        <f>+H73</f>
        <v>2021</v>
      </c>
      <c r="I1907" s="207"/>
      <c r="J1907" s="208"/>
      <c r="K1907" s="206">
        <f>+K73</f>
        <v>2020</v>
      </c>
      <c r="L1907" s="207"/>
      <c r="M1907" s="208"/>
      <c r="N1907" s="206">
        <f>+N73</f>
        <v>2019</v>
      </c>
      <c r="O1907" s="207"/>
      <c r="P1907" s="208"/>
      <c r="Q1907" s="206">
        <f>+Q73</f>
        <v>2018</v>
      </c>
      <c r="R1907" s="207"/>
      <c r="S1907" s="208"/>
      <c r="T1907" s="206">
        <f>+T73</f>
        <v>2017</v>
      </c>
      <c r="U1907" s="207"/>
      <c r="V1907" s="208"/>
      <c r="W1907" s="209">
        <f>+W73</f>
        <v>2016</v>
      </c>
      <c r="X1907" s="210"/>
      <c r="Y1907" s="211"/>
      <c r="Z1907" s="209">
        <f>+Z73</f>
        <v>2015</v>
      </c>
      <c r="AA1907" s="210"/>
      <c r="AB1907" s="211"/>
      <c r="AC1907" s="165"/>
      <c r="AF1907" s="162"/>
    </row>
    <row r="1908" spans="1:36" s="41" customFormat="1" ht="29.25" customHeight="1" thickBot="1" x14ac:dyDescent="0.25">
      <c r="A1908" s="28"/>
      <c r="B1908" s="29" t="s">
        <v>37</v>
      </c>
      <c r="C1908" s="30" t="s">
        <v>38</v>
      </c>
      <c r="D1908" s="29" t="s">
        <v>37</v>
      </c>
      <c r="E1908" s="30" t="s">
        <v>38</v>
      </c>
      <c r="F1908" s="29" t="s">
        <v>37</v>
      </c>
      <c r="G1908" s="30" t="s">
        <v>38</v>
      </c>
      <c r="H1908" s="186" t="s">
        <v>132</v>
      </c>
      <c r="I1908" s="187" t="s">
        <v>133</v>
      </c>
      <c r="J1908" s="44" t="s">
        <v>16</v>
      </c>
      <c r="K1908" s="186" t="s">
        <v>132</v>
      </c>
      <c r="L1908" s="187" t="s">
        <v>133</v>
      </c>
      <c r="M1908" s="44" t="s">
        <v>16</v>
      </c>
      <c r="N1908" s="186" t="s">
        <v>132</v>
      </c>
      <c r="O1908" s="187" t="s">
        <v>133</v>
      </c>
      <c r="P1908" s="44" t="s">
        <v>16</v>
      </c>
      <c r="Q1908" s="186" t="s">
        <v>132</v>
      </c>
      <c r="R1908" s="187" t="s">
        <v>133</v>
      </c>
      <c r="S1908" s="44" t="s">
        <v>16</v>
      </c>
      <c r="T1908" s="186" t="s">
        <v>132</v>
      </c>
      <c r="U1908" s="187" t="s">
        <v>133</v>
      </c>
      <c r="V1908" s="44" t="s">
        <v>16</v>
      </c>
      <c r="W1908" s="186" t="s">
        <v>132</v>
      </c>
      <c r="X1908" s="187" t="s">
        <v>133</v>
      </c>
      <c r="Y1908" s="44" t="s">
        <v>16</v>
      </c>
      <c r="Z1908" s="186" t="s">
        <v>132</v>
      </c>
      <c r="AA1908" s="187" t="s">
        <v>133</v>
      </c>
      <c r="AB1908" s="44" t="s">
        <v>16</v>
      </c>
    </row>
    <row r="1909" spans="1:36" s="41" customFormat="1" ht="14.25" customHeight="1" x14ac:dyDescent="0.2">
      <c r="A1909" s="98" t="s">
        <v>134</v>
      </c>
      <c r="B1909" s="31">
        <f>COUNTIFS(DATA!$BJ$3:$BJ$7183,1,DATA!$D$3:$D$7183,260)</f>
        <v>174</v>
      </c>
      <c r="C1909" s="35">
        <f>+B1909/$B$1914</f>
        <v>0.75982532751091703</v>
      </c>
      <c r="D1909" s="31">
        <f>COUNTIFS(DATA!$BJ$3:$BJ$7183,1,DATA!$D$3:$D$7183,280)</f>
        <v>59</v>
      </c>
      <c r="E1909" s="35">
        <f>+D1909/$D$1914</f>
        <v>0.60824742268041232</v>
      </c>
      <c r="F1909" s="31">
        <f>+D1909+B1909</f>
        <v>233</v>
      </c>
      <c r="G1909" s="35">
        <f>+F1909/$F$1914</f>
        <v>0.71472392638036808</v>
      </c>
      <c r="H1909" s="181">
        <v>0.7874396135265701</v>
      </c>
      <c r="I1909" s="180">
        <v>0.4891304347826087</v>
      </c>
      <c r="J1909" s="182">
        <v>0.69565217391304346</v>
      </c>
      <c r="K1909" s="181">
        <v>0.80722891566265065</v>
      </c>
      <c r="L1909" s="180">
        <v>0.62043795620437958</v>
      </c>
      <c r="M1909" s="182">
        <v>0.7409326424870466</v>
      </c>
      <c r="N1909" s="181">
        <v>0.76836158192090398</v>
      </c>
      <c r="O1909" s="180">
        <v>0.51875000000000004</v>
      </c>
      <c r="P1909" s="182">
        <v>0.69066147859922178</v>
      </c>
      <c r="Q1909" s="181">
        <v>0.74</v>
      </c>
      <c r="R1909" s="180">
        <v>0.57999999999999996</v>
      </c>
      <c r="S1909" s="182">
        <v>0.69</v>
      </c>
      <c r="T1909" s="181">
        <v>0.68013468013468015</v>
      </c>
      <c r="U1909" s="180">
        <v>0.61963190184049077</v>
      </c>
      <c r="V1909" s="182">
        <v>0.65869565217391302</v>
      </c>
      <c r="W1909" s="181">
        <v>0.76246334310850439</v>
      </c>
      <c r="X1909" s="180">
        <v>0.59722222222222221</v>
      </c>
      <c r="Y1909" s="182">
        <v>0.71340206185567012</v>
      </c>
      <c r="Z1909" s="181">
        <v>0.72189349112426038</v>
      </c>
      <c r="AA1909" s="180">
        <v>0.43119266055045874</v>
      </c>
      <c r="AB1909" s="182">
        <v>0.65100671140939592</v>
      </c>
    </row>
    <row r="1910" spans="1:36" s="41" customFormat="1" ht="14.25" customHeight="1" x14ac:dyDescent="0.2">
      <c r="A1910" s="92" t="s">
        <v>89</v>
      </c>
      <c r="B1910" s="31">
        <f>COUNTIFS(DATA!$BJ$3:$BJ$7183,2,DATA!$D$3:$D$7183,260)</f>
        <v>26</v>
      </c>
      <c r="C1910" s="35">
        <f t="shared" ref="C1910:C1913" si="166">+B1910/$B$1914</f>
        <v>0.11353711790393013</v>
      </c>
      <c r="D1910" s="42">
        <f>COUNTIFS(DATA!$BJ$3:$BJ$7183,2,DATA!$D$3:$D$7183,280)</f>
        <v>16</v>
      </c>
      <c r="E1910" s="35">
        <f t="shared" ref="E1910:E1913" si="167">+D1910/$D$1914</f>
        <v>0.16494845360824742</v>
      </c>
      <c r="F1910" s="42">
        <f t="shared" ref="F1910:F1912" si="168">+D1910+B1910</f>
        <v>42</v>
      </c>
      <c r="G1910" s="35">
        <f t="shared" ref="G1910:G1913" si="169">+F1910/$F$1914</f>
        <v>0.12883435582822086</v>
      </c>
      <c r="H1910" s="181">
        <v>0.10628019323671498</v>
      </c>
      <c r="I1910" s="180">
        <v>0.17391304347826086</v>
      </c>
      <c r="J1910" s="182">
        <v>0.12709030100334448</v>
      </c>
      <c r="K1910" s="181">
        <v>9.2369477911646583E-2</v>
      </c>
      <c r="L1910" s="180">
        <v>0.11678832116788321</v>
      </c>
      <c r="M1910" s="182">
        <v>0.10103626943005181</v>
      </c>
      <c r="N1910" s="181">
        <v>0.10451977401129943</v>
      </c>
      <c r="O1910" s="180">
        <v>0.16250000000000001</v>
      </c>
      <c r="P1910" s="182">
        <v>0.122568093385214</v>
      </c>
      <c r="Q1910" s="181">
        <v>0.14000000000000001</v>
      </c>
      <c r="R1910" s="180">
        <v>0.12</v>
      </c>
      <c r="S1910" s="182">
        <v>0.13</v>
      </c>
      <c r="T1910" s="181">
        <v>0.2053872053872054</v>
      </c>
      <c r="U1910" s="180">
        <v>8.5889570552147243E-2</v>
      </c>
      <c r="V1910" s="182">
        <v>0.16304347826086957</v>
      </c>
      <c r="W1910" s="181">
        <v>9.9706744868035185E-2</v>
      </c>
      <c r="X1910" s="180">
        <v>0.125</v>
      </c>
      <c r="Y1910" s="182">
        <v>0.10721649484536082</v>
      </c>
      <c r="Z1910" s="181">
        <v>0.18639053254437871</v>
      </c>
      <c r="AA1910" s="180">
        <v>0.22935779816513763</v>
      </c>
      <c r="AB1910" s="182">
        <v>0.19686800894854586</v>
      </c>
    </row>
    <row r="1911" spans="1:36" s="41" customFormat="1" x14ac:dyDescent="0.2">
      <c r="A1911" s="92" t="s">
        <v>90</v>
      </c>
      <c r="B1911" s="31">
        <f>COUNTIFS(DATA!$BJ$3:$BJ$7183,"3",DATA!$D$3:$D$7183,260)</f>
        <v>7</v>
      </c>
      <c r="C1911" s="35">
        <f t="shared" si="166"/>
        <v>3.0567685589519649E-2</v>
      </c>
      <c r="D1911" s="42">
        <f>COUNTIFS(DATA!$BJ$3:$BJ$7183,"3",DATA!$D$3:$D$7183,280)</f>
        <v>3</v>
      </c>
      <c r="E1911" s="35">
        <f t="shared" si="167"/>
        <v>3.0927835051546393E-2</v>
      </c>
      <c r="F1911" s="42">
        <f t="shared" si="168"/>
        <v>10</v>
      </c>
      <c r="G1911" s="35">
        <f t="shared" si="169"/>
        <v>3.0674846625766871E-2</v>
      </c>
      <c r="H1911" s="181">
        <v>1.932367149758454E-2</v>
      </c>
      <c r="I1911" s="180">
        <v>6.5217391304347824E-2</v>
      </c>
      <c r="J1911" s="182">
        <v>3.3444816053511704E-2</v>
      </c>
      <c r="K1911" s="181">
        <v>1.2048192771084338E-2</v>
      </c>
      <c r="L1911" s="180">
        <v>4.3795620437956206E-2</v>
      </c>
      <c r="M1911" s="182">
        <v>2.3316062176165803E-2</v>
      </c>
      <c r="N1911" s="181">
        <v>1.6949152542372881E-2</v>
      </c>
      <c r="O1911" s="180">
        <v>6.25E-2</v>
      </c>
      <c r="P1911" s="182">
        <v>3.1128404669260701E-2</v>
      </c>
      <c r="Q1911" s="181">
        <v>0.03</v>
      </c>
      <c r="R1911" s="180">
        <v>0.04</v>
      </c>
      <c r="S1911" s="182">
        <v>0.03</v>
      </c>
      <c r="T1911" s="181">
        <v>4.7138047138047139E-2</v>
      </c>
      <c r="U1911" s="180">
        <v>8.5889570552147243E-2</v>
      </c>
      <c r="V1911" s="182">
        <v>6.0869565217391307E-2</v>
      </c>
      <c r="W1911" s="181">
        <v>2.6392961876832845E-2</v>
      </c>
      <c r="X1911" s="180">
        <v>8.3333333333333329E-2</v>
      </c>
      <c r="Y1911" s="182">
        <v>4.3298969072164947E-2</v>
      </c>
      <c r="Z1911" s="181">
        <v>2.0710059171597635E-2</v>
      </c>
      <c r="AA1911" s="180">
        <v>0.10091743119266056</v>
      </c>
      <c r="AB1911" s="182">
        <v>4.0268456375838924E-2</v>
      </c>
      <c r="AC1911" s="158"/>
      <c r="AD1911" s="158"/>
      <c r="AE1911" s="158"/>
      <c r="AF1911" s="162"/>
      <c r="AG1911" s="158"/>
      <c r="AH1911" s="158"/>
      <c r="AI1911" s="158"/>
      <c r="AJ1911" s="158"/>
    </row>
    <row r="1912" spans="1:36" s="41" customFormat="1" ht="30" customHeight="1" x14ac:dyDescent="0.2">
      <c r="A1912" s="82" t="s">
        <v>91</v>
      </c>
      <c r="B1912" s="31">
        <f>COUNTIFS(DATA!$BJ$3:$BJ$7183,"4",DATA!$D$3:$D$7183,260)</f>
        <v>3</v>
      </c>
      <c r="C1912" s="35">
        <f t="shared" si="166"/>
        <v>1.3100436681222707E-2</v>
      </c>
      <c r="D1912" s="42">
        <f>COUNTIFS(DATA!$BJ$3:$BJ$7183,"4",DATA!$D$3:$D$7183,280)</f>
        <v>11</v>
      </c>
      <c r="E1912" s="35">
        <f t="shared" si="167"/>
        <v>0.1134020618556701</v>
      </c>
      <c r="F1912" s="42">
        <f t="shared" si="168"/>
        <v>14</v>
      </c>
      <c r="G1912" s="35">
        <f t="shared" si="169"/>
        <v>4.2944785276073622E-2</v>
      </c>
      <c r="H1912" s="181">
        <v>1.932367149758454E-2</v>
      </c>
      <c r="I1912" s="180">
        <v>0.15217391304347827</v>
      </c>
      <c r="J1912" s="182">
        <v>6.0200668896321072E-2</v>
      </c>
      <c r="K1912" s="181">
        <v>1.6064257028112448E-2</v>
      </c>
      <c r="L1912" s="180">
        <v>0.13138686131386862</v>
      </c>
      <c r="M1912" s="182">
        <v>5.6994818652849742E-2</v>
      </c>
      <c r="N1912" s="181">
        <v>1.6949152542372881E-2</v>
      </c>
      <c r="O1912" s="180">
        <v>0.16875000000000001</v>
      </c>
      <c r="P1912" s="182">
        <v>6.4202334630350189E-2</v>
      </c>
      <c r="Q1912" s="181">
        <v>0.03</v>
      </c>
      <c r="R1912" s="180">
        <v>0.13</v>
      </c>
      <c r="S1912" s="182">
        <v>0.06</v>
      </c>
      <c r="T1912" s="181">
        <v>2.6936026936026935E-2</v>
      </c>
      <c r="U1912" s="180">
        <v>0.13496932515337423</v>
      </c>
      <c r="V1912" s="182">
        <v>6.5217391304347824E-2</v>
      </c>
      <c r="W1912" s="181">
        <v>2.6392961876832845E-2</v>
      </c>
      <c r="X1912" s="180">
        <v>0.1111111111111111</v>
      </c>
      <c r="Y1912" s="182">
        <v>5.1546391752577317E-2</v>
      </c>
      <c r="Z1912" s="181">
        <v>2.3668639053254437E-2</v>
      </c>
      <c r="AA1912" s="180">
        <v>0.14678899082568808</v>
      </c>
      <c r="AB1912" s="182">
        <v>5.3691275167785234E-2</v>
      </c>
    </row>
    <row r="1913" spans="1:36" s="41" customFormat="1" ht="29.25" customHeight="1" thickBot="1" x14ac:dyDescent="0.25">
      <c r="A1913" s="93" t="s">
        <v>39</v>
      </c>
      <c r="B1913" s="31">
        <f>COUNTIFS(DATA!$BJ$3:$BJ$7183,"5",DATA!$D$3:$D$7183,260)</f>
        <v>19</v>
      </c>
      <c r="C1913" s="35">
        <f t="shared" si="166"/>
        <v>8.296943231441048E-2</v>
      </c>
      <c r="D1913" s="42">
        <f>COUNTIFS(DATA!$BJ$3:$BJ$7183,"5",DATA!$D$3:$D$7183,280)</f>
        <v>8</v>
      </c>
      <c r="E1913" s="35">
        <f t="shared" si="167"/>
        <v>8.247422680412371E-2</v>
      </c>
      <c r="F1913" s="42">
        <f t="shared" ref="F1913" si="170">+D1913+B1913</f>
        <v>27</v>
      </c>
      <c r="G1913" s="35">
        <f t="shared" si="169"/>
        <v>8.2822085889570546E-2</v>
      </c>
      <c r="H1913" s="181">
        <v>6.7632850241545889E-2</v>
      </c>
      <c r="I1913" s="180">
        <v>0.11956521739130435</v>
      </c>
      <c r="J1913" s="182">
        <v>8.3612040133779264E-2</v>
      </c>
      <c r="K1913" s="181">
        <v>7.2289156626506021E-2</v>
      </c>
      <c r="L1913" s="180">
        <v>8.7591240875912413E-2</v>
      </c>
      <c r="M1913" s="182">
        <v>7.7720207253886009E-2</v>
      </c>
      <c r="N1913" s="181">
        <v>9.3220338983050849E-2</v>
      </c>
      <c r="O1913" s="180">
        <v>8.7499999999999994E-2</v>
      </c>
      <c r="P1913" s="182">
        <v>9.1439688715953302E-2</v>
      </c>
      <c r="Q1913" s="181">
        <v>0.05</v>
      </c>
      <c r="R1913" s="180">
        <v>0.13</v>
      </c>
      <c r="S1913" s="182">
        <v>0.08</v>
      </c>
      <c r="T1913" s="181">
        <v>4.0404040404040407E-2</v>
      </c>
      <c r="U1913" s="180">
        <v>7.3619631901840496E-2</v>
      </c>
      <c r="V1913" s="182">
        <v>5.2173913043478258E-2</v>
      </c>
      <c r="W1913" s="181">
        <v>8.5043988269794715E-2</v>
      </c>
      <c r="X1913" s="180">
        <v>8.3333333333333329E-2</v>
      </c>
      <c r="Y1913" s="182">
        <v>8.4536082474226809E-2</v>
      </c>
      <c r="Z1913" s="181">
        <v>4.7337278106508875E-2</v>
      </c>
      <c r="AA1913" s="180">
        <v>9.1743119266055051E-2</v>
      </c>
      <c r="AB1913" s="182">
        <v>5.8165548098434001E-2</v>
      </c>
    </row>
    <row r="1914" spans="1:36" s="41" customFormat="1" ht="15.75" thickBot="1" x14ac:dyDescent="0.3">
      <c r="A1914" s="111" t="s">
        <v>16</v>
      </c>
      <c r="B1914" s="101">
        <f>SUM(B1909:B1913)</f>
        <v>229</v>
      </c>
      <c r="C1914" s="114">
        <f>+B1914/$B$1914</f>
        <v>1</v>
      </c>
      <c r="D1914" s="101">
        <f>SUM(D1909:D1913)</f>
        <v>97</v>
      </c>
      <c r="E1914" s="114">
        <f>+D1914/$D$1914</f>
        <v>1</v>
      </c>
      <c r="F1914" s="101">
        <f>SUM(F1909:F1913)</f>
        <v>326</v>
      </c>
      <c r="G1914" s="114">
        <f>+F1914/$F$1914</f>
        <v>1</v>
      </c>
      <c r="H1914" s="183">
        <v>1</v>
      </c>
      <c r="I1914" s="184">
        <v>1</v>
      </c>
      <c r="J1914" s="185">
        <v>1</v>
      </c>
      <c r="K1914" s="183">
        <v>1</v>
      </c>
      <c r="L1914" s="184">
        <v>1</v>
      </c>
      <c r="M1914" s="185">
        <v>1</v>
      </c>
      <c r="N1914" s="183">
        <v>1</v>
      </c>
      <c r="O1914" s="184">
        <v>1</v>
      </c>
      <c r="P1914" s="185">
        <v>1</v>
      </c>
      <c r="Q1914" s="183">
        <v>1</v>
      </c>
      <c r="R1914" s="184">
        <v>1</v>
      </c>
      <c r="S1914" s="185">
        <v>1</v>
      </c>
      <c r="T1914" s="183">
        <v>1</v>
      </c>
      <c r="U1914" s="184">
        <v>1</v>
      </c>
      <c r="V1914" s="185">
        <v>1</v>
      </c>
      <c r="W1914" s="183">
        <v>1</v>
      </c>
      <c r="X1914" s="184">
        <v>1</v>
      </c>
      <c r="Y1914" s="185">
        <v>1</v>
      </c>
      <c r="Z1914" s="183">
        <v>1</v>
      </c>
      <c r="AA1914" s="184">
        <v>1</v>
      </c>
      <c r="AB1914" s="185">
        <v>1</v>
      </c>
      <c r="AF1914" s="162"/>
    </row>
    <row r="1915" spans="1:36" s="41" customFormat="1" x14ac:dyDescent="0.2">
      <c r="N1915" s="162"/>
    </row>
    <row r="1916" spans="1:36" s="41" customFormat="1" ht="14.25" customHeight="1" x14ac:dyDescent="0.2">
      <c r="K1916" s="280" t="s">
        <v>7257</v>
      </c>
      <c r="L1916" s="280"/>
      <c r="M1916" s="280"/>
      <c r="N1916" s="280"/>
      <c r="O1916" s="280"/>
      <c r="P1916" s="280"/>
      <c r="Q1916" s="280"/>
      <c r="R1916" s="280"/>
    </row>
    <row r="1917" spans="1:36" s="41" customFormat="1" x14ac:dyDescent="0.2">
      <c r="K1917" s="280"/>
      <c r="L1917" s="280"/>
      <c r="M1917" s="280"/>
      <c r="N1917" s="280"/>
      <c r="O1917" s="280"/>
      <c r="P1917" s="280"/>
      <c r="Q1917" s="280"/>
      <c r="R1917" s="280"/>
    </row>
    <row r="1918" spans="1:36" s="41" customFormat="1" ht="14.25" customHeight="1" x14ac:dyDescent="0.2">
      <c r="K1918" s="219" t="s">
        <v>7253</v>
      </c>
      <c r="L1918" s="219"/>
      <c r="M1918" s="219"/>
      <c r="N1918" s="219"/>
      <c r="O1918" s="219"/>
      <c r="P1918" s="219"/>
      <c r="Q1918" s="219"/>
      <c r="R1918" s="219"/>
    </row>
    <row r="1919" spans="1:36" s="41" customFormat="1" x14ac:dyDescent="0.2">
      <c r="K1919" s="219"/>
      <c r="L1919" s="219"/>
      <c r="M1919" s="219"/>
      <c r="N1919" s="219"/>
      <c r="O1919" s="219"/>
      <c r="P1919" s="219"/>
      <c r="Q1919" s="219"/>
      <c r="R1919" s="219"/>
    </row>
    <row r="1920" spans="1:36" s="41" customFormat="1" ht="14.25" customHeight="1" x14ac:dyDescent="0.2">
      <c r="K1920" s="219" t="s">
        <v>7254</v>
      </c>
      <c r="L1920" s="219"/>
      <c r="M1920" s="219"/>
      <c r="N1920" s="219"/>
      <c r="O1920" s="219"/>
      <c r="P1920" s="219"/>
      <c r="Q1920" s="219"/>
      <c r="R1920" s="219"/>
    </row>
    <row r="1921" spans="11:18" s="41" customFormat="1" x14ac:dyDescent="0.2">
      <c r="K1921" s="219"/>
      <c r="L1921" s="219"/>
      <c r="M1921" s="219"/>
      <c r="N1921" s="219"/>
      <c r="O1921" s="219"/>
      <c r="P1921" s="219"/>
      <c r="Q1921" s="219"/>
      <c r="R1921" s="219"/>
    </row>
    <row r="1922" spans="11:18" s="41" customFormat="1" ht="14.25" customHeight="1" x14ac:dyDescent="0.2">
      <c r="K1922" s="215" t="s">
        <v>7255</v>
      </c>
      <c r="L1922" s="215"/>
      <c r="M1922" s="215"/>
      <c r="N1922" s="215"/>
      <c r="O1922" s="215"/>
      <c r="P1922" s="215"/>
      <c r="Q1922" s="215"/>
      <c r="R1922" s="215"/>
    </row>
    <row r="1923" spans="11:18" s="41" customFormat="1" x14ac:dyDescent="0.2">
      <c r="K1923" s="215"/>
      <c r="L1923" s="215"/>
      <c r="M1923" s="215"/>
      <c r="N1923" s="215"/>
      <c r="O1923" s="215"/>
      <c r="P1923" s="215"/>
      <c r="Q1923" s="215"/>
      <c r="R1923" s="215"/>
    </row>
    <row r="1924" spans="11:18" s="41" customFormat="1" ht="14.25" customHeight="1" x14ac:dyDescent="0.2">
      <c r="K1924" s="215" t="s">
        <v>7256</v>
      </c>
      <c r="L1924" s="215"/>
      <c r="M1924" s="215"/>
      <c r="N1924" s="215"/>
      <c r="O1924" s="215"/>
      <c r="P1924" s="215"/>
      <c r="Q1924" s="215"/>
      <c r="R1924" s="215"/>
    </row>
    <row r="1925" spans="11:18" s="41" customFormat="1" x14ac:dyDescent="0.2">
      <c r="K1925" s="215"/>
      <c r="L1925" s="215"/>
      <c r="M1925" s="215"/>
      <c r="N1925" s="215"/>
      <c r="O1925" s="215"/>
      <c r="P1925" s="215"/>
      <c r="Q1925" s="215"/>
      <c r="R1925" s="215"/>
    </row>
    <row r="1926" spans="11:18" s="41" customFormat="1" x14ac:dyDescent="0.2">
      <c r="N1926" s="162"/>
    </row>
    <row r="1927" spans="11:18" s="41" customFormat="1" x14ac:dyDescent="0.2"/>
    <row r="1928" spans="11:18" s="41" customFormat="1" x14ac:dyDescent="0.2"/>
    <row r="1929" spans="11:18" s="41" customFormat="1" x14ac:dyDescent="0.2">
      <c r="N1929" s="162"/>
    </row>
    <row r="1930" spans="11:18" s="41" customFormat="1" x14ac:dyDescent="0.2">
      <c r="N1930" s="162"/>
    </row>
    <row r="1931" spans="11:18" s="41" customFormat="1" x14ac:dyDescent="0.2">
      <c r="N1931" s="162"/>
    </row>
    <row r="1932" spans="11:18" s="41" customFormat="1" x14ac:dyDescent="0.2">
      <c r="N1932" s="162"/>
    </row>
    <row r="1933" spans="11:18" s="41" customFormat="1" x14ac:dyDescent="0.2">
      <c r="N1933" s="162"/>
    </row>
    <row r="1934" spans="11:18" s="41" customFormat="1" x14ac:dyDescent="0.2">
      <c r="N1934" s="162"/>
    </row>
    <row r="1935" spans="11:18" s="41" customFormat="1" x14ac:dyDescent="0.2">
      <c r="N1935" s="162"/>
    </row>
    <row r="1936" spans="11:18" s="41" customFormat="1" x14ac:dyDescent="0.2">
      <c r="N1936" s="162"/>
    </row>
    <row r="1937" spans="1:33" s="41" customFormat="1" x14ac:dyDescent="0.2">
      <c r="N1937" s="162"/>
    </row>
    <row r="1938" spans="1:33" s="41" customFormat="1" x14ac:dyDescent="0.2">
      <c r="N1938" s="162"/>
    </row>
    <row r="1939" spans="1:33" s="41" customFormat="1" x14ac:dyDescent="0.2">
      <c r="N1939" s="162"/>
    </row>
    <row r="1940" spans="1:33" s="41" customFormat="1" x14ac:dyDescent="0.2">
      <c r="N1940" s="162"/>
    </row>
    <row r="1941" spans="1:33" s="41" customFormat="1" ht="15" thickBot="1" x14ac:dyDescent="0.25">
      <c r="N1941" s="162"/>
    </row>
    <row r="1942" spans="1:33" s="41" customFormat="1" ht="42" customHeight="1" thickBot="1" x14ac:dyDescent="0.25">
      <c r="A1942" s="240" t="s">
        <v>128</v>
      </c>
      <c r="B1942" s="241"/>
      <c r="C1942" s="241"/>
      <c r="D1942" s="241"/>
      <c r="E1942" s="241"/>
      <c r="F1942" s="241"/>
      <c r="G1942" s="242"/>
      <c r="N1942" s="162"/>
    </row>
    <row r="1943" spans="1:33" s="41" customFormat="1" ht="15.75" thickBot="1" x14ac:dyDescent="0.3">
      <c r="A1943" s="28"/>
      <c r="B1943" s="234" t="str">
        <f>+B73</f>
        <v>Successful</v>
      </c>
      <c r="C1943" s="235"/>
      <c r="D1943" s="236" t="str">
        <f>+D73</f>
        <v>Unsuccessful</v>
      </c>
      <c r="E1943" s="237"/>
      <c r="F1943" s="238" t="s">
        <v>16</v>
      </c>
      <c r="G1943" s="239"/>
      <c r="H1943" s="206">
        <f>+H73</f>
        <v>2021</v>
      </c>
      <c r="I1943" s="207"/>
      <c r="J1943" s="208"/>
      <c r="K1943" s="206">
        <f>+K73</f>
        <v>2020</v>
      </c>
      <c r="L1943" s="207"/>
      <c r="M1943" s="208"/>
      <c r="N1943" s="206">
        <f>+N73</f>
        <v>2019</v>
      </c>
      <c r="O1943" s="207"/>
      <c r="P1943" s="208"/>
      <c r="Q1943" s="206">
        <f>+Q73</f>
        <v>2018</v>
      </c>
      <c r="R1943" s="207"/>
      <c r="S1943" s="208"/>
      <c r="T1943" s="206">
        <f>+T73</f>
        <v>2017</v>
      </c>
      <c r="U1943" s="207"/>
      <c r="V1943" s="208"/>
      <c r="W1943" s="209">
        <f>+W73</f>
        <v>2016</v>
      </c>
      <c r="X1943" s="210"/>
      <c r="Y1943" s="211"/>
      <c r="Z1943" s="209">
        <f>+Z73</f>
        <v>2015</v>
      </c>
      <c r="AA1943" s="210"/>
      <c r="AB1943" s="211"/>
      <c r="AC1943" s="165"/>
      <c r="AD1943" s="159"/>
      <c r="AE1943" s="159"/>
      <c r="AF1943" s="162"/>
      <c r="AG1943" s="159"/>
    </row>
    <row r="1944" spans="1:33" s="41" customFormat="1" ht="29.25" thickBot="1" x14ac:dyDescent="0.25">
      <c r="A1944" s="28"/>
      <c r="B1944" s="29" t="s">
        <v>37</v>
      </c>
      <c r="C1944" s="30" t="s">
        <v>38</v>
      </c>
      <c r="D1944" s="29" t="s">
        <v>37</v>
      </c>
      <c r="E1944" s="30" t="s">
        <v>38</v>
      </c>
      <c r="F1944" s="29" t="s">
        <v>37</v>
      </c>
      <c r="G1944" s="30" t="s">
        <v>38</v>
      </c>
      <c r="H1944" s="186" t="s">
        <v>132</v>
      </c>
      <c r="I1944" s="187" t="s">
        <v>133</v>
      </c>
      <c r="J1944" s="44" t="s">
        <v>16</v>
      </c>
      <c r="K1944" s="186" t="s">
        <v>132</v>
      </c>
      <c r="L1944" s="187" t="s">
        <v>133</v>
      </c>
      <c r="M1944" s="44" t="s">
        <v>16</v>
      </c>
      <c r="N1944" s="186" t="s">
        <v>132</v>
      </c>
      <c r="O1944" s="187" t="s">
        <v>133</v>
      </c>
      <c r="P1944" s="44" t="s">
        <v>16</v>
      </c>
      <c r="Q1944" s="186" t="s">
        <v>132</v>
      </c>
      <c r="R1944" s="187" t="s">
        <v>133</v>
      </c>
      <c r="S1944" s="44" t="s">
        <v>16</v>
      </c>
      <c r="T1944" s="186" t="s">
        <v>132</v>
      </c>
      <c r="U1944" s="187" t="s">
        <v>133</v>
      </c>
      <c r="V1944" s="44" t="s">
        <v>16</v>
      </c>
      <c r="W1944" s="186" t="s">
        <v>132</v>
      </c>
      <c r="X1944" s="187" t="s">
        <v>133</v>
      </c>
      <c r="Y1944" s="44" t="s">
        <v>16</v>
      </c>
      <c r="Z1944" s="186" t="s">
        <v>132</v>
      </c>
      <c r="AA1944" s="187" t="s">
        <v>133</v>
      </c>
      <c r="AB1944" s="44" t="s">
        <v>16</v>
      </c>
    </row>
    <row r="1945" spans="1:33" s="41" customFormat="1" x14ac:dyDescent="0.2">
      <c r="A1945" s="98" t="s">
        <v>134</v>
      </c>
      <c r="B1945" s="31">
        <f>COUNTIFS(DATA!$BK$3:$BK$7183,1,DATA!$D$3:$D$7183,260)</f>
        <v>5</v>
      </c>
      <c r="C1945" s="35">
        <f>IF(B1949=0,0,+B1945/B1949)</f>
        <v>0.5</v>
      </c>
      <c r="D1945" s="31">
        <f>COUNTIFS(DATA!$BK$3:$BK$7183,1,DATA!$D$3:$D$7183,280)</f>
        <v>6</v>
      </c>
      <c r="E1945" s="35">
        <f>+D1945/D1949</f>
        <v>0.42857142857142855</v>
      </c>
      <c r="F1945" s="31">
        <f>+D1945+B1945</f>
        <v>11</v>
      </c>
      <c r="G1945" s="35">
        <f>+F1945/F1949</f>
        <v>0.45833333333333331</v>
      </c>
      <c r="H1945" s="181">
        <v>0.5</v>
      </c>
      <c r="I1945" s="180">
        <v>0.45</v>
      </c>
      <c r="J1945" s="182">
        <v>0.4642857142857143</v>
      </c>
      <c r="K1945" s="181">
        <v>0.42857142857142855</v>
      </c>
      <c r="L1945" s="180">
        <v>0.54166666666666663</v>
      </c>
      <c r="M1945" s="182">
        <v>0.5161290322580645</v>
      </c>
      <c r="N1945" s="181">
        <v>0.66666666666666663</v>
      </c>
      <c r="O1945" s="180">
        <v>0.32432432432432434</v>
      </c>
      <c r="P1945" s="182">
        <v>0.40816326530612246</v>
      </c>
      <c r="Q1945" s="181">
        <v>0.45</v>
      </c>
      <c r="R1945" s="180">
        <v>0.56999999999999995</v>
      </c>
      <c r="S1945" s="182">
        <v>0.52</v>
      </c>
      <c r="T1945" s="181">
        <v>0.82608695652173914</v>
      </c>
      <c r="U1945" s="180">
        <v>0.52777777777777779</v>
      </c>
      <c r="V1945" s="182">
        <v>0.64406779661016944</v>
      </c>
      <c r="W1945" s="181">
        <v>0.55555555555555558</v>
      </c>
      <c r="X1945" s="180">
        <v>0.5357142857142857</v>
      </c>
      <c r="Y1945" s="182">
        <v>0.54347826086956519</v>
      </c>
      <c r="Z1945" s="181">
        <v>0.6</v>
      </c>
      <c r="AA1945" s="180">
        <v>0.62962962962962965</v>
      </c>
      <c r="AB1945" s="182">
        <v>0.61904761904761907</v>
      </c>
    </row>
    <row r="1946" spans="1:33" s="41" customFormat="1" ht="27.75" customHeight="1" x14ac:dyDescent="0.2">
      <c r="A1946" s="99" t="s">
        <v>135</v>
      </c>
      <c r="B1946" s="31">
        <f>COUNTIFS(DATA!$BK$3:$BK$7183,2,DATA!$D$3:$D$7183,260)</f>
        <v>4</v>
      </c>
      <c r="C1946" s="35">
        <f>IF(B1949=0,0,+B1946/B1949)</f>
        <v>0.4</v>
      </c>
      <c r="D1946" s="42">
        <f>COUNTIFS(DATA!$BK$3:$BK$7183,2,DATA!$D$3:$D$7183,280)</f>
        <v>6</v>
      </c>
      <c r="E1946" s="35">
        <f>+D1946/D1949</f>
        <v>0.42857142857142855</v>
      </c>
      <c r="F1946" s="42">
        <f t="shared" ref="F1946:F1948" si="171">+D1946+B1946</f>
        <v>10</v>
      </c>
      <c r="G1946" s="35">
        <f>+F1946/F1949</f>
        <v>0.41666666666666669</v>
      </c>
      <c r="H1946" s="181">
        <v>0.25</v>
      </c>
      <c r="I1946" s="180">
        <v>0.25</v>
      </c>
      <c r="J1946" s="182">
        <v>0.25</v>
      </c>
      <c r="K1946" s="181">
        <v>0.5714285714285714</v>
      </c>
      <c r="L1946" s="180">
        <v>0.375</v>
      </c>
      <c r="M1946" s="182">
        <v>0.41935483870967744</v>
      </c>
      <c r="N1946" s="181">
        <v>0.33333333333333331</v>
      </c>
      <c r="O1946" s="180">
        <v>0.43243243243243246</v>
      </c>
      <c r="P1946" s="182">
        <v>0.40816326530612246</v>
      </c>
      <c r="Q1946" s="181">
        <v>0.35</v>
      </c>
      <c r="R1946" s="180">
        <v>0.32</v>
      </c>
      <c r="S1946" s="182">
        <v>0.33</v>
      </c>
      <c r="T1946" s="181">
        <v>0.17391304347826086</v>
      </c>
      <c r="U1946" s="180">
        <v>0.3611111111111111</v>
      </c>
      <c r="V1946" s="182">
        <v>0.28813559322033899</v>
      </c>
      <c r="W1946" s="181">
        <v>0.22222222222222221</v>
      </c>
      <c r="X1946" s="180">
        <v>0.39285714285714285</v>
      </c>
      <c r="Y1946" s="182">
        <v>0.32608695652173914</v>
      </c>
      <c r="Z1946" s="181">
        <v>0.2</v>
      </c>
      <c r="AA1946" s="180">
        <v>0.25925925925925924</v>
      </c>
      <c r="AB1946" s="182">
        <v>0.23809523809523808</v>
      </c>
    </row>
    <row r="1947" spans="1:33" s="41" customFormat="1" ht="27.75" customHeight="1" x14ac:dyDescent="0.2">
      <c r="A1947" s="92" t="s">
        <v>94</v>
      </c>
      <c r="B1947" s="31">
        <f>COUNTIFS(DATA!$BK$3:$BK$7183,"3",DATA!$D$3:$D$7183,260)</f>
        <v>1</v>
      </c>
      <c r="C1947" s="35">
        <f>IF(B1949=0,0,+B1947/B1949)</f>
        <v>0.1</v>
      </c>
      <c r="D1947" s="42">
        <f>COUNTIFS(DATA!$BK$3:$BK$7183,"3",DATA!$D$3:$D$7183,280)</f>
        <v>2</v>
      </c>
      <c r="E1947" s="35">
        <f>+D1947/D1949</f>
        <v>0.14285714285714285</v>
      </c>
      <c r="F1947" s="42">
        <f t="shared" si="171"/>
        <v>3</v>
      </c>
      <c r="G1947" s="35">
        <f>+F1947/F1949</f>
        <v>0.125</v>
      </c>
      <c r="H1947" s="181">
        <v>0.25</v>
      </c>
      <c r="I1947" s="180">
        <v>0.3</v>
      </c>
      <c r="J1947" s="182">
        <v>0.2857142857142857</v>
      </c>
      <c r="K1947" s="181">
        <v>0</v>
      </c>
      <c r="L1947" s="180">
        <v>4.1666666666666664E-2</v>
      </c>
      <c r="M1947" s="182">
        <v>3.2258064516129031E-2</v>
      </c>
      <c r="N1947" s="181">
        <v>0</v>
      </c>
      <c r="O1947" s="180">
        <v>0.1891891891891892</v>
      </c>
      <c r="P1947" s="182">
        <v>0.14285714285714285</v>
      </c>
      <c r="Q1947" s="181">
        <v>0.15</v>
      </c>
      <c r="R1947" s="180">
        <v>0.11</v>
      </c>
      <c r="S1947" s="182">
        <v>0.13</v>
      </c>
      <c r="T1947" s="181">
        <v>0</v>
      </c>
      <c r="U1947" s="180">
        <v>8.3333333333333329E-2</v>
      </c>
      <c r="V1947" s="182">
        <v>5.0847457627118647E-2</v>
      </c>
      <c r="W1947" s="181">
        <v>0.22222222222222221</v>
      </c>
      <c r="X1947" s="180">
        <v>0</v>
      </c>
      <c r="Y1947" s="182">
        <v>8.6956521739130432E-2</v>
      </c>
      <c r="Z1947" s="181">
        <v>6.6666666666666666E-2</v>
      </c>
      <c r="AA1947" s="180">
        <v>7.407407407407407E-2</v>
      </c>
      <c r="AB1947" s="182">
        <v>7.1428571428571425E-2</v>
      </c>
    </row>
    <row r="1948" spans="1:33" s="41" customFormat="1" ht="15" thickBot="1" x14ac:dyDescent="0.25">
      <c r="A1948" s="93" t="s">
        <v>39</v>
      </c>
      <c r="B1948" s="31">
        <f>COUNTIFS(DATA!$BK$3:$BK$7183,"4",DATA!$D$3:$D$7183,260)</f>
        <v>0</v>
      </c>
      <c r="C1948" s="35">
        <f>IF(B1949=0,0,+B1948/B1949)</f>
        <v>0</v>
      </c>
      <c r="D1948" s="42">
        <f>COUNTIFS(DATA!$BK$3:$BK$7183,"4",DATA!$D$3:$D$7183,280)</f>
        <v>0</v>
      </c>
      <c r="E1948" s="35">
        <f>+D1948/D1949</f>
        <v>0</v>
      </c>
      <c r="F1948" s="42">
        <f t="shared" si="171"/>
        <v>0</v>
      </c>
      <c r="G1948" s="35">
        <f>+F1948/F1949</f>
        <v>0</v>
      </c>
      <c r="H1948" s="181">
        <v>0</v>
      </c>
      <c r="I1948" s="180">
        <v>0</v>
      </c>
      <c r="J1948" s="182">
        <v>0</v>
      </c>
      <c r="K1948" s="181">
        <v>0</v>
      </c>
      <c r="L1948" s="180">
        <v>4.1666666666666664E-2</v>
      </c>
      <c r="M1948" s="182">
        <v>3.2258064516129031E-2</v>
      </c>
      <c r="N1948" s="181">
        <v>0</v>
      </c>
      <c r="O1948" s="180">
        <v>5.4054054054054057E-2</v>
      </c>
      <c r="P1948" s="182">
        <v>4.0816326530612242E-2</v>
      </c>
      <c r="Q1948" s="181">
        <v>0.05</v>
      </c>
      <c r="R1948" s="180">
        <v>0</v>
      </c>
      <c r="S1948" s="182">
        <v>0.02</v>
      </c>
      <c r="T1948" s="181">
        <v>0</v>
      </c>
      <c r="U1948" s="180">
        <v>2.7777777777777776E-2</v>
      </c>
      <c r="V1948" s="182">
        <v>1.6949152542372881E-2</v>
      </c>
      <c r="W1948" s="181">
        <v>0</v>
      </c>
      <c r="X1948" s="180">
        <v>7.1428571428571425E-2</v>
      </c>
      <c r="Y1948" s="182">
        <v>4.3478260869565216E-2</v>
      </c>
      <c r="Z1948" s="181">
        <v>0.13333333333333333</v>
      </c>
      <c r="AA1948" s="180">
        <v>3.7037037037037035E-2</v>
      </c>
      <c r="AB1948" s="182">
        <v>7.1428571428571425E-2</v>
      </c>
      <c r="AC1948" s="74"/>
      <c r="AF1948" s="162"/>
    </row>
    <row r="1949" spans="1:33" s="41" customFormat="1" ht="15.75" thickBot="1" x14ac:dyDescent="0.3">
      <c r="A1949" s="111" t="s">
        <v>16</v>
      </c>
      <c r="B1949" s="101">
        <f>SUM(B1945:B1948)</f>
        <v>10</v>
      </c>
      <c r="C1949" s="114">
        <f>IF(B1949=0,0,+B1949/B1949)</f>
        <v>1</v>
      </c>
      <c r="D1949" s="101">
        <f>SUM(D1945:D1948)</f>
        <v>14</v>
      </c>
      <c r="E1949" s="114">
        <f>+D1949/D1949</f>
        <v>1</v>
      </c>
      <c r="F1949" s="101">
        <f>SUM(F1945:F1948)</f>
        <v>24</v>
      </c>
      <c r="G1949" s="114">
        <f>+F1949/F1949</f>
        <v>1</v>
      </c>
      <c r="H1949" s="183">
        <v>1</v>
      </c>
      <c r="I1949" s="184">
        <v>1</v>
      </c>
      <c r="J1949" s="185">
        <v>1</v>
      </c>
      <c r="K1949" s="183">
        <v>1</v>
      </c>
      <c r="L1949" s="184">
        <v>1</v>
      </c>
      <c r="M1949" s="185">
        <v>1</v>
      </c>
      <c r="N1949" s="183">
        <v>1</v>
      </c>
      <c r="O1949" s="184">
        <v>1</v>
      </c>
      <c r="P1949" s="185">
        <v>1</v>
      </c>
      <c r="Q1949" s="183">
        <v>1</v>
      </c>
      <c r="R1949" s="184">
        <v>1</v>
      </c>
      <c r="S1949" s="185">
        <v>1</v>
      </c>
      <c r="T1949" s="183">
        <v>1</v>
      </c>
      <c r="U1949" s="184">
        <v>1</v>
      </c>
      <c r="V1949" s="185">
        <v>1</v>
      </c>
      <c r="W1949" s="183">
        <v>1</v>
      </c>
      <c r="X1949" s="184">
        <v>1</v>
      </c>
      <c r="Y1949" s="185">
        <v>1</v>
      </c>
      <c r="Z1949" s="183">
        <v>1</v>
      </c>
      <c r="AA1949" s="184">
        <v>1</v>
      </c>
      <c r="AB1949" s="185">
        <v>1</v>
      </c>
      <c r="AF1949" s="162"/>
    </row>
    <row r="1950" spans="1:33" s="41" customFormat="1" x14ac:dyDescent="0.2">
      <c r="N1950" s="162"/>
    </row>
    <row r="1951" spans="1:33" s="41" customFormat="1" x14ac:dyDescent="0.2">
      <c r="K1951" s="212" t="s">
        <v>177</v>
      </c>
      <c r="L1951" s="213"/>
      <c r="M1951" s="213"/>
      <c r="N1951" s="213"/>
      <c r="O1951" s="213"/>
      <c r="P1951" s="213"/>
      <c r="Q1951" s="213"/>
      <c r="R1951" s="213"/>
    </row>
    <row r="1952" spans="1:33" s="41" customFormat="1" x14ac:dyDescent="0.2">
      <c r="K1952" s="160"/>
      <c r="L1952" s="159"/>
      <c r="M1952" s="159"/>
      <c r="N1952" s="162"/>
      <c r="O1952" s="159"/>
    </row>
    <row r="1953" spans="11:18" s="41" customFormat="1" x14ac:dyDescent="0.2">
      <c r="K1953" s="221" t="s">
        <v>7258</v>
      </c>
      <c r="L1953" s="219"/>
      <c r="M1953" s="219"/>
      <c r="N1953" s="219"/>
      <c r="O1953" s="219"/>
      <c r="P1953" s="219"/>
      <c r="Q1953" s="219"/>
      <c r="R1953" s="219"/>
    </row>
    <row r="1954" spans="11:18" s="41" customFormat="1" ht="14.25" customHeight="1" x14ac:dyDescent="0.2">
      <c r="K1954" s="215" t="s">
        <v>7259</v>
      </c>
      <c r="L1954" s="215"/>
      <c r="M1954" s="215"/>
      <c r="N1954" s="215"/>
      <c r="O1954" s="215"/>
      <c r="P1954" s="215"/>
      <c r="Q1954" s="215"/>
      <c r="R1954" s="215"/>
    </row>
    <row r="1955" spans="11:18" s="41" customFormat="1" x14ac:dyDescent="0.2">
      <c r="K1955" s="215"/>
      <c r="L1955" s="215"/>
      <c r="M1955" s="215"/>
      <c r="N1955" s="215"/>
      <c r="O1955" s="215"/>
      <c r="P1955" s="215"/>
      <c r="Q1955" s="215"/>
      <c r="R1955" s="215"/>
    </row>
    <row r="1956" spans="11:18" s="41" customFormat="1" x14ac:dyDescent="0.2">
      <c r="N1956" s="162"/>
    </row>
    <row r="1957" spans="11:18" s="41" customFormat="1" x14ac:dyDescent="0.2">
      <c r="N1957" s="162"/>
    </row>
    <row r="1958" spans="11:18" s="41" customFormat="1" x14ac:dyDescent="0.2">
      <c r="N1958" s="162"/>
    </row>
    <row r="1959" spans="11:18" s="41" customFormat="1" x14ac:dyDescent="0.2">
      <c r="N1959" s="162"/>
    </row>
    <row r="1960" spans="11:18" s="41" customFormat="1" x14ac:dyDescent="0.2">
      <c r="N1960" s="162"/>
    </row>
    <row r="1961" spans="11:18" s="41" customFormat="1" x14ac:dyDescent="0.2">
      <c r="N1961" s="162"/>
    </row>
    <row r="1962" spans="11:18" s="41" customFormat="1" x14ac:dyDescent="0.2">
      <c r="N1962" s="162"/>
    </row>
    <row r="1963" spans="11:18" s="41" customFormat="1" x14ac:dyDescent="0.2">
      <c r="N1963" s="162"/>
    </row>
    <row r="1964" spans="11:18" s="41" customFormat="1" x14ac:dyDescent="0.2">
      <c r="N1964" s="162"/>
    </row>
    <row r="1965" spans="11:18" s="41" customFormat="1" x14ac:dyDescent="0.2">
      <c r="N1965" s="162"/>
    </row>
    <row r="1966" spans="11:18" s="41" customFormat="1" x14ac:dyDescent="0.2">
      <c r="N1966" s="162"/>
    </row>
    <row r="1967" spans="11:18" s="41" customFormat="1" x14ac:dyDescent="0.2">
      <c r="N1967" s="162"/>
    </row>
    <row r="1968" spans="11:18" s="41" customFormat="1" x14ac:dyDescent="0.2">
      <c r="N1968" s="162"/>
    </row>
    <row r="1969" spans="1:32" s="41" customFormat="1" x14ac:dyDescent="0.2">
      <c r="N1969" s="162"/>
    </row>
    <row r="1970" spans="1:32" s="41" customFormat="1" x14ac:dyDescent="0.2">
      <c r="N1970" s="162"/>
    </row>
    <row r="1971" spans="1:32" s="41" customFormat="1" x14ac:dyDescent="0.2">
      <c r="N1971" s="162"/>
    </row>
    <row r="1972" spans="1:32" s="41" customFormat="1" x14ac:dyDescent="0.2">
      <c r="N1972" s="162"/>
    </row>
    <row r="1973" spans="1:32" s="41" customFormat="1" x14ac:dyDescent="0.2">
      <c r="N1973" s="162"/>
    </row>
    <row r="1974" spans="1:32" s="41" customFormat="1" x14ac:dyDescent="0.2">
      <c r="N1974" s="162"/>
    </row>
    <row r="1975" spans="1:32" s="41" customFormat="1" x14ac:dyDescent="0.2">
      <c r="N1975" s="162"/>
    </row>
    <row r="1976" spans="1:32" s="41" customFormat="1" ht="15" thickBot="1" x14ac:dyDescent="0.25">
      <c r="N1976" s="162"/>
    </row>
    <row r="1977" spans="1:32" s="41" customFormat="1" ht="42" customHeight="1" thickBot="1" x14ac:dyDescent="0.25">
      <c r="A1977" s="240" t="s">
        <v>129</v>
      </c>
      <c r="B1977" s="241"/>
      <c r="C1977" s="241"/>
      <c r="D1977" s="241"/>
      <c r="E1977" s="241"/>
      <c r="F1977" s="241"/>
      <c r="G1977" s="242"/>
      <c r="H1977" s="74"/>
      <c r="I1977" s="74"/>
      <c r="J1977" s="74"/>
      <c r="K1977" s="74"/>
      <c r="N1977" s="162"/>
    </row>
    <row r="1978" spans="1:32" s="41" customFormat="1" ht="15.75" thickBot="1" x14ac:dyDescent="0.3">
      <c r="A1978" s="28"/>
      <c r="B1978" s="234" t="str">
        <f>+B73</f>
        <v>Successful</v>
      </c>
      <c r="C1978" s="235"/>
      <c r="D1978" s="236" t="str">
        <f>+D73</f>
        <v>Unsuccessful</v>
      </c>
      <c r="E1978" s="237"/>
      <c r="F1978" s="238" t="s">
        <v>16</v>
      </c>
      <c r="G1978" s="239"/>
      <c r="H1978" s="206">
        <f>+H73</f>
        <v>2021</v>
      </c>
      <c r="I1978" s="207"/>
      <c r="J1978" s="208"/>
      <c r="K1978" s="206">
        <f>+K73</f>
        <v>2020</v>
      </c>
      <c r="L1978" s="207"/>
      <c r="M1978" s="208"/>
      <c r="N1978" s="206">
        <f>+N73</f>
        <v>2019</v>
      </c>
      <c r="O1978" s="207"/>
      <c r="P1978" s="208"/>
      <c r="Q1978" s="206">
        <f>+Q73</f>
        <v>2018</v>
      </c>
      <c r="R1978" s="207"/>
      <c r="S1978" s="208"/>
      <c r="T1978" s="206">
        <f>+T73</f>
        <v>2017</v>
      </c>
      <c r="U1978" s="207"/>
      <c r="V1978" s="208"/>
      <c r="W1978" s="209">
        <f>+W73</f>
        <v>2016</v>
      </c>
      <c r="X1978" s="210"/>
      <c r="Y1978" s="211"/>
      <c r="Z1978" s="209">
        <f>+Z73</f>
        <v>2015</v>
      </c>
      <c r="AA1978" s="210"/>
      <c r="AB1978" s="211"/>
      <c r="AC1978" s="165"/>
      <c r="AF1978" s="162"/>
    </row>
    <row r="1979" spans="1:32" s="41" customFormat="1" ht="30" customHeight="1" thickBot="1" x14ac:dyDescent="0.25">
      <c r="A1979" s="28"/>
      <c r="B1979" s="29" t="s">
        <v>37</v>
      </c>
      <c r="C1979" s="30" t="s">
        <v>38</v>
      </c>
      <c r="D1979" s="29" t="s">
        <v>37</v>
      </c>
      <c r="E1979" s="30" t="s">
        <v>38</v>
      </c>
      <c r="F1979" s="29" t="s">
        <v>37</v>
      </c>
      <c r="G1979" s="30" t="s">
        <v>38</v>
      </c>
      <c r="H1979" s="186" t="s">
        <v>132</v>
      </c>
      <c r="I1979" s="187" t="s">
        <v>133</v>
      </c>
      <c r="J1979" s="44" t="s">
        <v>16</v>
      </c>
      <c r="K1979" s="186" t="s">
        <v>132</v>
      </c>
      <c r="L1979" s="187" t="s">
        <v>133</v>
      </c>
      <c r="M1979" s="44" t="s">
        <v>16</v>
      </c>
      <c r="N1979" s="186" t="s">
        <v>132</v>
      </c>
      <c r="O1979" s="187" t="s">
        <v>133</v>
      </c>
      <c r="P1979" s="44" t="s">
        <v>16</v>
      </c>
      <c r="Q1979" s="186" t="s">
        <v>132</v>
      </c>
      <c r="R1979" s="187" t="s">
        <v>133</v>
      </c>
      <c r="S1979" s="44" t="s">
        <v>16</v>
      </c>
      <c r="T1979" s="186" t="s">
        <v>132</v>
      </c>
      <c r="U1979" s="187" t="s">
        <v>133</v>
      </c>
      <c r="V1979" s="44" t="s">
        <v>16</v>
      </c>
      <c r="W1979" s="186" t="s">
        <v>132</v>
      </c>
      <c r="X1979" s="187" t="s">
        <v>133</v>
      </c>
      <c r="Y1979" s="44" t="s">
        <v>16</v>
      </c>
      <c r="Z1979" s="186" t="s">
        <v>132</v>
      </c>
      <c r="AA1979" s="187" t="s">
        <v>133</v>
      </c>
      <c r="AB1979" s="44" t="s">
        <v>16</v>
      </c>
    </row>
    <row r="1980" spans="1:32" s="41" customFormat="1" x14ac:dyDescent="0.2">
      <c r="A1980" s="98" t="s">
        <v>134</v>
      </c>
      <c r="B1980" s="31">
        <f>COUNTIFS(DATA!$BL$3:$BL$7183,1,DATA!$D$3:$D$7183,260)</f>
        <v>4</v>
      </c>
      <c r="C1980" s="35">
        <f>IF(B1984=0,0,+B1980/B1984)</f>
        <v>0.4</v>
      </c>
      <c r="D1980" s="31">
        <f>COUNTIFS(DATA!$BL$3:$BL$7183,1,DATA!$D$3:$D$7183,280)</f>
        <v>1</v>
      </c>
      <c r="E1980" s="35">
        <f>+D1980/D1984</f>
        <v>7.1428571428571425E-2</v>
      </c>
      <c r="F1980" s="31">
        <f>+D1980+B1980</f>
        <v>5</v>
      </c>
      <c r="G1980" s="35">
        <f>+F1980/F1984</f>
        <v>0.20833333333333334</v>
      </c>
      <c r="H1980" s="181">
        <v>0.5</v>
      </c>
      <c r="I1980" s="180">
        <v>0.25</v>
      </c>
      <c r="J1980" s="182">
        <v>0.32142857142857145</v>
      </c>
      <c r="K1980" s="181">
        <v>0.14285714285714285</v>
      </c>
      <c r="L1980" s="180">
        <v>0.20833333333333334</v>
      </c>
      <c r="M1980" s="182">
        <v>0.19354838709677419</v>
      </c>
      <c r="N1980" s="181">
        <v>0.5</v>
      </c>
      <c r="O1980" s="180">
        <v>8.1081081081081086E-2</v>
      </c>
      <c r="P1980" s="182">
        <v>0.18367346938775511</v>
      </c>
      <c r="Q1980" s="181">
        <v>0.25</v>
      </c>
      <c r="R1980" s="180">
        <v>0.25</v>
      </c>
      <c r="S1980" s="182">
        <v>0.25</v>
      </c>
      <c r="T1980" s="181">
        <v>0.39130434782608697</v>
      </c>
      <c r="U1980" s="180">
        <v>0.19444444444444445</v>
      </c>
      <c r="V1980" s="182">
        <v>0.2711864406779661</v>
      </c>
      <c r="W1980" s="181">
        <v>0.3888888888888889</v>
      </c>
      <c r="X1980" s="180">
        <v>0.17857142857142858</v>
      </c>
      <c r="Y1980" s="182">
        <v>0.2608695652173913</v>
      </c>
      <c r="Z1980" s="181">
        <v>0.2</v>
      </c>
      <c r="AA1980" s="180">
        <v>0.29629629629629628</v>
      </c>
      <c r="AB1980" s="182">
        <v>0.26190476190476192</v>
      </c>
    </row>
    <row r="1981" spans="1:32" s="41" customFormat="1" ht="29.25" customHeight="1" x14ac:dyDescent="0.2">
      <c r="A1981" s="99" t="s">
        <v>135</v>
      </c>
      <c r="B1981" s="31">
        <f>COUNTIFS(DATA!$BL$3:$BL$7183,2,DATA!$D$3:$D$7183,260)</f>
        <v>5</v>
      </c>
      <c r="C1981" s="35">
        <f>IF(B1984=0,0,+B1981/B1984)</f>
        <v>0.5</v>
      </c>
      <c r="D1981" s="42">
        <f>COUNTIFS(DATA!$BL$3:$BL$7183,2,DATA!$D$3:$D$7183,280)</f>
        <v>11</v>
      </c>
      <c r="E1981" s="35">
        <f>+D1981/D1984</f>
        <v>0.7857142857142857</v>
      </c>
      <c r="F1981" s="42">
        <f t="shared" ref="F1981:F1983" si="172">+D1981+B1981</f>
        <v>16</v>
      </c>
      <c r="G1981" s="35">
        <f>+F1981/F1984</f>
        <v>0.66666666666666663</v>
      </c>
      <c r="H1981" s="181">
        <v>0.375</v>
      </c>
      <c r="I1981" s="180">
        <v>0.6</v>
      </c>
      <c r="J1981" s="182">
        <v>0.5357142857142857</v>
      </c>
      <c r="K1981" s="181">
        <v>0.7142857142857143</v>
      </c>
      <c r="L1981" s="180">
        <v>0.58333333333333337</v>
      </c>
      <c r="M1981" s="182">
        <v>0.61290322580645162</v>
      </c>
      <c r="N1981" s="181">
        <v>0.5</v>
      </c>
      <c r="O1981" s="180">
        <v>0.72972972972972971</v>
      </c>
      <c r="P1981" s="182">
        <v>0.67346938775510201</v>
      </c>
      <c r="Q1981" s="181">
        <v>0.45</v>
      </c>
      <c r="R1981" s="180">
        <v>0.5</v>
      </c>
      <c r="S1981" s="182">
        <v>0.48</v>
      </c>
      <c r="T1981" s="181">
        <v>0.52173913043478259</v>
      </c>
      <c r="U1981" s="180">
        <v>0.72222222222222221</v>
      </c>
      <c r="V1981" s="182">
        <v>0.64406779661016944</v>
      </c>
      <c r="W1981" s="181">
        <v>0.3888888888888889</v>
      </c>
      <c r="X1981" s="180">
        <v>0.7142857142857143</v>
      </c>
      <c r="Y1981" s="182">
        <v>0.58695652173913049</v>
      </c>
      <c r="Z1981" s="181">
        <v>0.53333333333333333</v>
      </c>
      <c r="AA1981" s="180">
        <v>0.62962962962962965</v>
      </c>
      <c r="AB1981" s="182">
        <v>0.59523809523809523</v>
      </c>
    </row>
    <row r="1982" spans="1:32" s="41" customFormat="1" ht="27.75" customHeight="1" x14ac:dyDescent="0.2">
      <c r="A1982" s="92" t="s">
        <v>94</v>
      </c>
      <c r="B1982" s="31">
        <f>COUNTIFS(DATA!$BL$3:$BL$7183,"3",DATA!$D$3:$D$7183,260)</f>
        <v>1</v>
      </c>
      <c r="C1982" s="35">
        <f>IF(B1984=0,0,+B1982/B1984)</f>
        <v>0.1</v>
      </c>
      <c r="D1982" s="42">
        <f>COUNTIFS(DATA!$BL$3:$BL$7183,"3",DATA!$D$3:$D$7183,280)</f>
        <v>2</v>
      </c>
      <c r="E1982" s="35">
        <f>+D1982/D1984</f>
        <v>0.14285714285714285</v>
      </c>
      <c r="F1982" s="42">
        <f t="shared" si="172"/>
        <v>3</v>
      </c>
      <c r="G1982" s="35">
        <f>+F1982/F1984</f>
        <v>0.125</v>
      </c>
      <c r="H1982" s="181">
        <v>0.125</v>
      </c>
      <c r="I1982" s="180">
        <v>0.15</v>
      </c>
      <c r="J1982" s="182">
        <v>0.14285714285714285</v>
      </c>
      <c r="K1982" s="181">
        <v>0.14285714285714285</v>
      </c>
      <c r="L1982" s="180">
        <v>0.16666666666666666</v>
      </c>
      <c r="M1982" s="182">
        <v>0.16129032258064516</v>
      </c>
      <c r="N1982" s="181">
        <v>0</v>
      </c>
      <c r="O1982" s="180">
        <v>0.13513513513513514</v>
      </c>
      <c r="P1982" s="182">
        <v>0.10204081632653061</v>
      </c>
      <c r="Q1982" s="181">
        <v>0.2</v>
      </c>
      <c r="R1982" s="180">
        <v>0.25</v>
      </c>
      <c r="S1982" s="182">
        <v>0.23</v>
      </c>
      <c r="T1982" s="181">
        <v>8.6956521739130432E-2</v>
      </c>
      <c r="U1982" s="180">
        <v>2.7777777777777776E-2</v>
      </c>
      <c r="V1982" s="182">
        <v>5.0847457627118647E-2</v>
      </c>
      <c r="W1982" s="181">
        <v>0.22222222222222221</v>
      </c>
      <c r="X1982" s="180">
        <v>7.1428571428571425E-2</v>
      </c>
      <c r="Y1982" s="182">
        <v>0.13043478260869565</v>
      </c>
      <c r="Z1982" s="181">
        <v>0.13333333333333333</v>
      </c>
      <c r="AA1982" s="180">
        <v>3.7037037037037035E-2</v>
      </c>
      <c r="AB1982" s="182">
        <v>7.1428571428571425E-2</v>
      </c>
    </row>
    <row r="1983" spans="1:32" s="41" customFormat="1" ht="15" thickBot="1" x14ac:dyDescent="0.25">
      <c r="A1983" s="93" t="s">
        <v>39</v>
      </c>
      <c r="B1983" s="31">
        <f>COUNTIFS(DATA!$BL$3:$BL$7183,"4",DATA!$D$3:$D$7183,260)</f>
        <v>0</v>
      </c>
      <c r="C1983" s="35">
        <f>IF(B1984=0,0,+B1983/B1984)</f>
        <v>0</v>
      </c>
      <c r="D1983" s="42">
        <f>COUNTIFS(DATA!$BL$3:$BL$7183,"4",DATA!$D$3:$D$7183,280)</f>
        <v>0</v>
      </c>
      <c r="E1983" s="35">
        <f>+D1983/D1984</f>
        <v>0</v>
      </c>
      <c r="F1983" s="42">
        <f t="shared" si="172"/>
        <v>0</v>
      </c>
      <c r="G1983" s="35">
        <f>+F1983/F1984</f>
        <v>0</v>
      </c>
      <c r="H1983" s="181">
        <v>0</v>
      </c>
      <c r="I1983" s="180">
        <v>0</v>
      </c>
      <c r="J1983" s="182">
        <v>0</v>
      </c>
      <c r="K1983" s="181">
        <v>0</v>
      </c>
      <c r="L1983" s="180">
        <v>4.1666666666666664E-2</v>
      </c>
      <c r="M1983" s="182">
        <v>3.2258064516129031E-2</v>
      </c>
      <c r="N1983" s="181">
        <v>0</v>
      </c>
      <c r="O1983" s="180">
        <v>5.4054054054054057E-2</v>
      </c>
      <c r="P1983" s="182">
        <v>4.0816326530612242E-2</v>
      </c>
      <c r="Q1983" s="181">
        <v>0.1</v>
      </c>
      <c r="R1983" s="180">
        <v>0</v>
      </c>
      <c r="S1983" s="182">
        <v>0.04</v>
      </c>
      <c r="T1983" s="181">
        <v>0</v>
      </c>
      <c r="U1983" s="180">
        <v>5.5555555555555552E-2</v>
      </c>
      <c r="V1983" s="182">
        <v>3.3898305084745763E-2</v>
      </c>
      <c r="W1983" s="181">
        <v>0</v>
      </c>
      <c r="X1983" s="180">
        <v>3.5714285714285712E-2</v>
      </c>
      <c r="Y1983" s="182">
        <v>2.1739130434782608E-2</v>
      </c>
      <c r="Z1983" s="181">
        <v>0.13333333333333333</v>
      </c>
      <c r="AA1983" s="180">
        <v>3.7037037037037035E-2</v>
      </c>
      <c r="AB1983" s="182">
        <v>7.1428571428571425E-2</v>
      </c>
      <c r="AC1983" s="74"/>
      <c r="AF1983" s="162"/>
    </row>
    <row r="1984" spans="1:32" s="41" customFormat="1" ht="15.75" thickBot="1" x14ac:dyDescent="0.3">
      <c r="A1984" s="111" t="s">
        <v>16</v>
      </c>
      <c r="B1984" s="101">
        <f>SUM(B1980:B1983)</f>
        <v>10</v>
      </c>
      <c r="C1984" s="114">
        <f>IF(B1984=0,0,+B1984/B1984)</f>
        <v>1</v>
      </c>
      <c r="D1984" s="101">
        <f>SUM(D1980:D1983)</f>
        <v>14</v>
      </c>
      <c r="E1984" s="114">
        <f>+D1984/D1984</f>
        <v>1</v>
      </c>
      <c r="F1984" s="101">
        <f>SUM(F1980:F1983)</f>
        <v>24</v>
      </c>
      <c r="G1984" s="114">
        <f>+F1984/F1984</f>
        <v>1</v>
      </c>
      <c r="H1984" s="183">
        <v>1</v>
      </c>
      <c r="I1984" s="184">
        <v>1</v>
      </c>
      <c r="J1984" s="185">
        <v>1</v>
      </c>
      <c r="K1984" s="183">
        <v>1</v>
      </c>
      <c r="L1984" s="184">
        <v>1</v>
      </c>
      <c r="M1984" s="185">
        <v>1</v>
      </c>
      <c r="N1984" s="183">
        <v>1</v>
      </c>
      <c r="O1984" s="184">
        <v>1</v>
      </c>
      <c r="P1984" s="185">
        <v>1</v>
      </c>
      <c r="Q1984" s="183">
        <v>1</v>
      </c>
      <c r="R1984" s="184">
        <v>1</v>
      </c>
      <c r="S1984" s="185">
        <v>1</v>
      </c>
      <c r="T1984" s="183">
        <v>1</v>
      </c>
      <c r="U1984" s="184">
        <v>1</v>
      </c>
      <c r="V1984" s="185">
        <v>1</v>
      </c>
      <c r="W1984" s="183">
        <v>1</v>
      </c>
      <c r="X1984" s="184">
        <v>1</v>
      </c>
      <c r="Y1984" s="185">
        <v>1</v>
      </c>
      <c r="Z1984" s="183">
        <v>1</v>
      </c>
      <c r="AA1984" s="184">
        <v>1</v>
      </c>
      <c r="AB1984" s="185">
        <v>1</v>
      </c>
      <c r="AF1984" s="162"/>
    </row>
    <row r="1985" spans="11:18" s="41" customFormat="1" x14ac:dyDescent="0.2">
      <c r="N1985" s="162"/>
    </row>
    <row r="1986" spans="11:18" s="41" customFormat="1" ht="14.25" customHeight="1" x14ac:dyDescent="0.2">
      <c r="K1986" s="213" t="s">
        <v>177</v>
      </c>
      <c r="L1986" s="213"/>
      <c r="M1986" s="213"/>
      <c r="N1986" s="213"/>
      <c r="O1986" s="213"/>
      <c r="P1986" s="213"/>
      <c r="Q1986" s="213"/>
      <c r="R1986" s="213"/>
    </row>
    <row r="1987" spans="11:18" s="41" customFormat="1" x14ac:dyDescent="0.2">
      <c r="K1987" s="213"/>
      <c r="L1987" s="213"/>
      <c r="M1987" s="213"/>
      <c r="N1987" s="213"/>
      <c r="O1987" s="213"/>
      <c r="P1987" s="213"/>
      <c r="Q1987" s="213"/>
      <c r="R1987" s="213"/>
    </row>
    <row r="1988" spans="11:18" s="41" customFormat="1" ht="14.25" customHeight="1" x14ac:dyDescent="0.2">
      <c r="K1988" s="219" t="s">
        <v>7260</v>
      </c>
      <c r="L1988" s="219"/>
      <c r="M1988" s="219"/>
      <c r="N1988" s="219"/>
      <c r="O1988" s="219"/>
      <c r="P1988" s="219"/>
      <c r="Q1988" s="219"/>
      <c r="R1988" s="219"/>
    </row>
    <row r="1989" spans="11:18" s="41" customFormat="1" x14ac:dyDescent="0.2">
      <c r="K1989" s="219"/>
      <c r="L1989" s="219"/>
      <c r="M1989" s="219"/>
      <c r="N1989" s="219"/>
      <c r="O1989" s="219"/>
      <c r="P1989" s="219"/>
      <c r="Q1989" s="219"/>
      <c r="R1989" s="219"/>
    </row>
    <row r="1990" spans="11:18" s="41" customFormat="1" ht="14.25" customHeight="1" x14ac:dyDescent="0.2">
      <c r="K1990" s="215" t="s">
        <v>7261</v>
      </c>
      <c r="L1990" s="215"/>
      <c r="M1990" s="215"/>
      <c r="N1990" s="215"/>
      <c r="O1990" s="215"/>
      <c r="P1990" s="215"/>
      <c r="Q1990" s="215"/>
      <c r="R1990" s="215"/>
    </row>
    <row r="1991" spans="11:18" s="41" customFormat="1" x14ac:dyDescent="0.2">
      <c r="K1991" s="215"/>
      <c r="L1991" s="215"/>
      <c r="M1991" s="215"/>
      <c r="N1991" s="215"/>
      <c r="O1991" s="215"/>
      <c r="P1991" s="215"/>
      <c r="Q1991" s="215"/>
      <c r="R1991" s="215"/>
    </row>
    <row r="1992" spans="11:18" s="41" customFormat="1" x14ac:dyDescent="0.2">
      <c r="N1992" s="162"/>
    </row>
    <row r="1993" spans="11:18" s="41" customFormat="1" x14ac:dyDescent="0.2">
      <c r="N1993" s="162"/>
    </row>
    <row r="1994" spans="11:18" s="41" customFormat="1" x14ac:dyDescent="0.2">
      <c r="N1994" s="162"/>
    </row>
    <row r="1995" spans="11:18" s="41" customFormat="1" x14ac:dyDescent="0.2">
      <c r="N1995" s="162"/>
    </row>
    <row r="1996" spans="11:18" s="41" customFormat="1" x14ac:dyDescent="0.2">
      <c r="N1996" s="162"/>
    </row>
    <row r="1997" spans="11:18" s="41" customFormat="1" x14ac:dyDescent="0.2">
      <c r="N1997" s="162"/>
    </row>
    <row r="1998" spans="11:18" s="41" customFormat="1" x14ac:dyDescent="0.2">
      <c r="N1998" s="162"/>
    </row>
    <row r="1999" spans="11:18" s="41" customFormat="1" x14ac:dyDescent="0.2">
      <c r="N1999" s="162"/>
    </row>
    <row r="2000" spans="11:18" s="41" customFormat="1" x14ac:dyDescent="0.2">
      <c r="N2000" s="162"/>
    </row>
    <row r="2001" spans="1:32" s="41" customFormat="1" x14ac:dyDescent="0.2">
      <c r="N2001" s="162"/>
    </row>
    <row r="2002" spans="1:32" s="41" customFormat="1" x14ac:dyDescent="0.2">
      <c r="N2002" s="162"/>
    </row>
    <row r="2003" spans="1:32" s="41" customFormat="1" x14ac:dyDescent="0.2">
      <c r="N2003" s="162"/>
    </row>
    <row r="2004" spans="1:32" s="41" customFormat="1" x14ac:dyDescent="0.2">
      <c r="N2004" s="162"/>
    </row>
    <row r="2005" spans="1:32" s="41" customFormat="1" x14ac:dyDescent="0.2">
      <c r="N2005" s="162"/>
    </row>
    <row r="2006" spans="1:32" s="41" customFormat="1" x14ac:dyDescent="0.2">
      <c r="N2006" s="162"/>
    </row>
    <row r="2007" spans="1:32" s="41" customFormat="1" x14ac:dyDescent="0.2">
      <c r="N2007" s="162"/>
    </row>
    <row r="2008" spans="1:32" s="41" customFormat="1" x14ac:dyDescent="0.2">
      <c r="N2008" s="162"/>
    </row>
    <row r="2009" spans="1:32" s="41" customFormat="1" x14ac:dyDescent="0.2">
      <c r="N2009" s="162"/>
    </row>
    <row r="2010" spans="1:32" s="41" customFormat="1" x14ac:dyDescent="0.2">
      <c r="N2010" s="162"/>
    </row>
    <row r="2011" spans="1:32" s="41" customFormat="1" ht="15" thickBot="1" x14ac:dyDescent="0.25">
      <c r="N2011" s="162"/>
    </row>
    <row r="2012" spans="1:32" s="41" customFormat="1" ht="42" customHeight="1" thickBot="1" x14ac:dyDescent="0.25">
      <c r="A2012" s="240" t="s">
        <v>130</v>
      </c>
      <c r="B2012" s="241"/>
      <c r="C2012" s="241"/>
      <c r="D2012" s="241"/>
      <c r="E2012" s="241"/>
      <c r="F2012" s="241"/>
      <c r="G2012" s="242"/>
      <c r="H2012" s="74"/>
      <c r="I2012" s="74"/>
      <c r="J2012" s="74"/>
      <c r="K2012" s="74"/>
      <c r="N2012" s="162"/>
    </row>
    <row r="2013" spans="1:32" s="41" customFormat="1" ht="15.75" thickBot="1" x14ac:dyDescent="0.3">
      <c r="A2013" s="28"/>
      <c r="B2013" s="234" t="str">
        <f>+B73</f>
        <v>Successful</v>
      </c>
      <c r="C2013" s="235"/>
      <c r="D2013" s="236" t="str">
        <f>+D73</f>
        <v>Unsuccessful</v>
      </c>
      <c r="E2013" s="237"/>
      <c r="F2013" s="238" t="s">
        <v>16</v>
      </c>
      <c r="G2013" s="239"/>
      <c r="H2013" s="206">
        <f>+H73</f>
        <v>2021</v>
      </c>
      <c r="I2013" s="207"/>
      <c r="J2013" s="208"/>
      <c r="K2013" s="206">
        <f>+K73</f>
        <v>2020</v>
      </c>
      <c r="L2013" s="207"/>
      <c r="M2013" s="208"/>
      <c r="N2013" s="206">
        <f>+N73</f>
        <v>2019</v>
      </c>
      <c r="O2013" s="207"/>
      <c r="P2013" s="208"/>
      <c r="Q2013" s="206">
        <f>+Q73</f>
        <v>2018</v>
      </c>
      <c r="R2013" s="207"/>
      <c r="S2013" s="208"/>
      <c r="T2013" s="206">
        <f>+T73</f>
        <v>2017</v>
      </c>
      <c r="U2013" s="207"/>
      <c r="V2013" s="208"/>
      <c r="W2013" s="209">
        <f>+W73</f>
        <v>2016</v>
      </c>
      <c r="X2013" s="210"/>
      <c r="Y2013" s="211"/>
      <c r="Z2013" s="209">
        <f>+Z73</f>
        <v>2015</v>
      </c>
      <c r="AA2013" s="210"/>
      <c r="AB2013" s="211"/>
      <c r="AC2013" s="165"/>
      <c r="AF2013" s="162"/>
    </row>
    <row r="2014" spans="1:32" s="41" customFormat="1" ht="30" customHeight="1" thickBot="1" x14ac:dyDescent="0.25">
      <c r="A2014" s="28"/>
      <c r="B2014" s="29" t="s">
        <v>37</v>
      </c>
      <c r="C2014" s="30" t="s">
        <v>38</v>
      </c>
      <c r="D2014" s="29" t="s">
        <v>37</v>
      </c>
      <c r="E2014" s="30" t="s">
        <v>38</v>
      </c>
      <c r="F2014" s="29" t="s">
        <v>37</v>
      </c>
      <c r="G2014" s="30" t="s">
        <v>38</v>
      </c>
      <c r="H2014" s="186" t="s">
        <v>132</v>
      </c>
      <c r="I2014" s="187" t="s">
        <v>133</v>
      </c>
      <c r="J2014" s="44" t="s">
        <v>16</v>
      </c>
      <c r="K2014" s="186" t="s">
        <v>132</v>
      </c>
      <c r="L2014" s="187" t="s">
        <v>133</v>
      </c>
      <c r="M2014" s="44" t="s">
        <v>16</v>
      </c>
      <c r="N2014" s="186" t="s">
        <v>132</v>
      </c>
      <c r="O2014" s="187" t="s">
        <v>133</v>
      </c>
      <c r="P2014" s="44" t="s">
        <v>16</v>
      </c>
      <c r="Q2014" s="186" t="s">
        <v>132</v>
      </c>
      <c r="R2014" s="187" t="s">
        <v>133</v>
      </c>
      <c r="S2014" s="44" t="s">
        <v>16</v>
      </c>
      <c r="T2014" s="186" t="s">
        <v>132</v>
      </c>
      <c r="U2014" s="187" t="s">
        <v>133</v>
      </c>
      <c r="V2014" s="44" t="s">
        <v>16</v>
      </c>
      <c r="W2014" s="186" t="s">
        <v>132</v>
      </c>
      <c r="X2014" s="187" t="s">
        <v>133</v>
      </c>
      <c r="Y2014" s="44" t="s">
        <v>16</v>
      </c>
      <c r="Z2014" s="186" t="s">
        <v>132</v>
      </c>
      <c r="AA2014" s="187" t="s">
        <v>133</v>
      </c>
      <c r="AB2014" s="44" t="s">
        <v>16</v>
      </c>
    </row>
    <row r="2015" spans="1:32" s="41" customFormat="1" x14ac:dyDescent="0.2">
      <c r="A2015" s="98" t="s">
        <v>134</v>
      </c>
      <c r="B2015" s="31">
        <f>COUNTIFS(DATA!$BM$3:$BM$7183,1,DATA!$D$3:$D$7183,260)</f>
        <v>5</v>
      </c>
      <c r="C2015" s="35">
        <f>IF(B2019=0,0,+B2015/B2019)</f>
        <v>0.5</v>
      </c>
      <c r="D2015" s="31">
        <f>COUNTIFS(DATA!$BM$3:$BM$7183,1,DATA!$D$3:$D$7183,280)</f>
        <v>2</v>
      </c>
      <c r="E2015" s="35">
        <f>+D2015/D2019</f>
        <v>0.14285714285714285</v>
      </c>
      <c r="F2015" s="31">
        <f>+D2015+B2015</f>
        <v>7</v>
      </c>
      <c r="G2015" s="35">
        <f>+F2015/F2019</f>
        <v>0.29166666666666669</v>
      </c>
      <c r="H2015" s="181">
        <v>0.125</v>
      </c>
      <c r="I2015" s="180">
        <v>0.05</v>
      </c>
      <c r="J2015" s="182">
        <v>7.1428571428571425E-2</v>
      </c>
      <c r="K2015" s="181">
        <v>0.42857142857142855</v>
      </c>
      <c r="L2015" s="180">
        <v>0.16666666666666666</v>
      </c>
      <c r="M2015" s="182">
        <v>0.22580645161290322</v>
      </c>
      <c r="N2015" s="181">
        <v>0.5</v>
      </c>
      <c r="O2015" s="180">
        <v>0.27027027027027029</v>
      </c>
      <c r="P2015" s="182">
        <v>0.32653061224489793</v>
      </c>
      <c r="Q2015" s="181">
        <v>0.05</v>
      </c>
      <c r="R2015" s="180">
        <v>0.21</v>
      </c>
      <c r="S2015" s="182">
        <v>0.15</v>
      </c>
      <c r="T2015" s="181">
        <v>0.43478260869565216</v>
      </c>
      <c r="U2015" s="180">
        <v>0.16666666666666666</v>
      </c>
      <c r="V2015" s="182">
        <v>0.2711864406779661</v>
      </c>
      <c r="W2015" s="181">
        <v>0.22222222222222221</v>
      </c>
      <c r="X2015" s="180">
        <v>0.14285714285714285</v>
      </c>
      <c r="Y2015" s="182">
        <v>0.17391304347826086</v>
      </c>
      <c r="Z2015" s="181">
        <v>0.26666666666666666</v>
      </c>
      <c r="AA2015" s="180">
        <v>0.37037037037037035</v>
      </c>
      <c r="AB2015" s="182">
        <v>0.33333333333333331</v>
      </c>
    </row>
    <row r="2016" spans="1:32" s="41" customFormat="1" ht="29.25" customHeight="1" x14ac:dyDescent="0.2">
      <c r="A2016" s="99" t="s">
        <v>135</v>
      </c>
      <c r="B2016" s="31">
        <f>COUNTIFS(DATA!$BM$3:$BM$7183,2,DATA!$D$3:$D$7183,260)</f>
        <v>2</v>
      </c>
      <c r="C2016" s="35">
        <f>IF(B2019=0,0,+B2016/B2019)</f>
        <v>0.2</v>
      </c>
      <c r="D2016" s="42">
        <f>COUNTIFS(DATA!$BM$3:$BM$7183,2,DATA!$D$3:$D$7183,280)</f>
        <v>4</v>
      </c>
      <c r="E2016" s="35">
        <f>+D2016/D2019</f>
        <v>0.2857142857142857</v>
      </c>
      <c r="F2016" s="42">
        <f t="shared" ref="F2016:F2018" si="173">+D2016+B2016</f>
        <v>6</v>
      </c>
      <c r="G2016" s="35">
        <f>+F2016/F2019</f>
        <v>0.25</v>
      </c>
      <c r="H2016" s="181">
        <v>0.375</v>
      </c>
      <c r="I2016" s="180">
        <v>0.4</v>
      </c>
      <c r="J2016" s="182">
        <v>0.39285714285714285</v>
      </c>
      <c r="K2016" s="181">
        <v>0.5714285714285714</v>
      </c>
      <c r="L2016" s="180">
        <v>0.58333333333333337</v>
      </c>
      <c r="M2016" s="182">
        <v>0.58064516129032262</v>
      </c>
      <c r="N2016" s="181">
        <v>0.33333333333333331</v>
      </c>
      <c r="O2016" s="180">
        <v>0.45945945945945948</v>
      </c>
      <c r="P2016" s="182">
        <v>0.42857142857142855</v>
      </c>
      <c r="Q2016" s="181">
        <v>0.6</v>
      </c>
      <c r="R2016" s="180">
        <v>0.32</v>
      </c>
      <c r="S2016" s="182">
        <v>0.44</v>
      </c>
      <c r="T2016" s="181">
        <v>0.30434782608695654</v>
      </c>
      <c r="U2016" s="180">
        <v>0.44444444444444442</v>
      </c>
      <c r="V2016" s="182">
        <v>0.38983050847457629</v>
      </c>
      <c r="W2016" s="181">
        <v>0.44444444444444442</v>
      </c>
      <c r="X2016" s="180">
        <v>0.5357142857142857</v>
      </c>
      <c r="Y2016" s="182">
        <v>0.5</v>
      </c>
      <c r="Z2016" s="181">
        <v>0.33333333333333331</v>
      </c>
      <c r="AA2016" s="180">
        <v>0.59259259259259256</v>
      </c>
      <c r="AB2016" s="182">
        <v>0.5</v>
      </c>
    </row>
    <row r="2017" spans="1:32" s="41" customFormat="1" ht="29.25" customHeight="1" x14ac:dyDescent="0.2">
      <c r="A2017" s="92" t="s">
        <v>94</v>
      </c>
      <c r="B2017" s="31">
        <f>COUNTIFS(DATA!$BM$3:$BM$7183,"3",DATA!$D$3:$D$7183,260)</f>
        <v>3</v>
      </c>
      <c r="C2017" s="35">
        <f>IF(B2019=0,0,+B2017/B2019)</f>
        <v>0.3</v>
      </c>
      <c r="D2017" s="42">
        <f>COUNTIFS(DATA!$BM$3:$BM$7183,"3",DATA!$D$3:$D$7183,280)</f>
        <v>8</v>
      </c>
      <c r="E2017" s="35">
        <f>+D2017/D2019</f>
        <v>0.5714285714285714</v>
      </c>
      <c r="F2017" s="42">
        <f t="shared" si="173"/>
        <v>11</v>
      </c>
      <c r="G2017" s="35">
        <f>+F2017/F2019</f>
        <v>0.45833333333333331</v>
      </c>
      <c r="H2017" s="181">
        <v>0.5</v>
      </c>
      <c r="I2017" s="180">
        <v>0.55000000000000004</v>
      </c>
      <c r="J2017" s="182">
        <v>0.5357142857142857</v>
      </c>
      <c r="K2017" s="181">
        <v>0</v>
      </c>
      <c r="L2017" s="180">
        <v>0.20833333333333334</v>
      </c>
      <c r="M2017" s="182">
        <v>0.16129032258064516</v>
      </c>
      <c r="N2017" s="181">
        <v>0.16666666666666666</v>
      </c>
      <c r="O2017" s="180">
        <v>0.1891891891891892</v>
      </c>
      <c r="P2017" s="182">
        <v>0.18367346938775511</v>
      </c>
      <c r="Q2017" s="181">
        <v>0.25</v>
      </c>
      <c r="R2017" s="180">
        <v>0.46</v>
      </c>
      <c r="S2017" s="182">
        <v>0.38</v>
      </c>
      <c r="T2017" s="181">
        <v>0.2608695652173913</v>
      </c>
      <c r="U2017" s="180">
        <v>0.30555555555555558</v>
      </c>
      <c r="V2017" s="182">
        <v>0.28813559322033899</v>
      </c>
      <c r="W2017" s="181">
        <v>0.33333333333333331</v>
      </c>
      <c r="X2017" s="180">
        <v>0.2857142857142857</v>
      </c>
      <c r="Y2017" s="182">
        <v>0.30434782608695654</v>
      </c>
      <c r="Z2017" s="181">
        <v>0.26666666666666666</v>
      </c>
      <c r="AA2017" s="180">
        <v>0</v>
      </c>
      <c r="AB2017" s="182">
        <v>9.5238095238095233E-2</v>
      </c>
    </row>
    <row r="2018" spans="1:32" s="41" customFormat="1" ht="15" thickBot="1" x14ac:dyDescent="0.25">
      <c r="A2018" s="93" t="s">
        <v>39</v>
      </c>
      <c r="B2018" s="31">
        <f>COUNTIFS(DATA!$BM$3:$BM$7183,"4",DATA!$D$3:$D$7183,260)</f>
        <v>0</v>
      </c>
      <c r="C2018" s="35">
        <f>IF(B2019=0,0,+B2018/B2019)</f>
        <v>0</v>
      </c>
      <c r="D2018" s="42">
        <f>COUNTIFS(DATA!$BM$3:$BM$7183,"4",DATA!$D$3:$D$7183,280)</f>
        <v>0</v>
      </c>
      <c r="E2018" s="35">
        <f>+D2018/D2019</f>
        <v>0</v>
      </c>
      <c r="F2018" s="42">
        <f t="shared" si="173"/>
        <v>0</v>
      </c>
      <c r="G2018" s="35">
        <f>+F2018/F2019</f>
        <v>0</v>
      </c>
      <c r="H2018" s="181">
        <v>0</v>
      </c>
      <c r="I2018" s="180">
        <v>0</v>
      </c>
      <c r="J2018" s="182">
        <v>0</v>
      </c>
      <c r="K2018" s="181">
        <v>0</v>
      </c>
      <c r="L2018" s="180">
        <v>4.1666666666666664E-2</v>
      </c>
      <c r="M2018" s="182">
        <v>3.2258064516129031E-2</v>
      </c>
      <c r="N2018" s="181">
        <v>0</v>
      </c>
      <c r="O2018" s="180">
        <v>8.1081081081081086E-2</v>
      </c>
      <c r="P2018" s="182">
        <v>6.1224489795918366E-2</v>
      </c>
      <c r="Q2018" s="181">
        <v>0.1</v>
      </c>
      <c r="R2018" s="180">
        <v>0</v>
      </c>
      <c r="S2018" s="182">
        <v>0.04</v>
      </c>
      <c r="T2018" s="181">
        <v>0</v>
      </c>
      <c r="U2018" s="180">
        <v>8.3333333333333329E-2</v>
      </c>
      <c r="V2018" s="182">
        <v>5.0847457627118647E-2</v>
      </c>
      <c r="W2018" s="181">
        <v>0</v>
      </c>
      <c r="X2018" s="180">
        <v>3.5714285714285712E-2</v>
      </c>
      <c r="Y2018" s="182">
        <v>2.1739130434782608E-2</v>
      </c>
      <c r="Z2018" s="181">
        <v>0.13333333333333333</v>
      </c>
      <c r="AA2018" s="180">
        <v>3.7037037037037035E-2</v>
      </c>
      <c r="AB2018" s="182">
        <v>7.1428571428571425E-2</v>
      </c>
      <c r="AC2018" s="74"/>
      <c r="AF2018" s="162"/>
    </row>
    <row r="2019" spans="1:32" s="41" customFormat="1" ht="15.75" thickBot="1" x14ac:dyDescent="0.3">
      <c r="A2019" s="111" t="s">
        <v>16</v>
      </c>
      <c r="B2019" s="101">
        <f>SUM(B2015:B2018)</f>
        <v>10</v>
      </c>
      <c r="C2019" s="114">
        <f>IF(B2019=0,0,+B2019/B2019)</f>
        <v>1</v>
      </c>
      <c r="D2019" s="101">
        <f>SUM(D2015:D2018)</f>
        <v>14</v>
      </c>
      <c r="E2019" s="114">
        <f>+D2019/D2019</f>
        <v>1</v>
      </c>
      <c r="F2019" s="101">
        <f>SUM(F2015:F2018)</f>
        <v>24</v>
      </c>
      <c r="G2019" s="114">
        <f>+F2019/F2019</f>
        <v>1</v>
      </c>
      <c r="H2019" s="183">
        <v>1</v>
      </c>
      <c r="I2019" s="184">
        <v>1</v>
      </c>
      <c r="J2019" s="185">
        <v>1</v>
      </c>
      <c r="K2019" s="183">
        <v>1</v>
      </c>
      <c r="L2019" s="184">
        <v>1</v>
      </c>
      <c r="M2019" s="185">
        <v>1</v>
      </c>
      <c r="N2019" s="183">
        <v>1</v>
      </c>
      <c r="O2019" s="184">
        <v>1</v>
      </c>
      <c r="P2019" s="185">
        <v>1</v>
      </c>
      <c r="Q2019" s="183">
        <v>1</v>
      </c>
      <c r="R2019" s="184">
        <v>1</v>
      </c>
      <c r="S2019" s="185">
        <v>1</v>
      </c>
      <c r="T2019" s="183">
        <v>1</v>
      </c>
      <c r="U2019" s="184">
        <v>1</v>
      </c>
      <c r="V2019" s="185">
        <v>1</v>
      </c>
      <c r="W2019" s="183">
        <v>1</v>
      </c>
      <c r="X2019" s="184">
        <v>1</v>
      </c>
      <c r="Y2019" s="185">
        <v>1</v>
      </c>
      <c r="Z2019" s="183">
        <v>1</v>
      </c>
      <c r="AA2019" s="184">
        <v>1</v>
      </c>
      <c r="AB2019" s="185">
        <v>1</v>
      </c>
      <c r="AF2019" s="162"/>
    </row>
    <row r="2020" spans="1:32" s="41" customFormat="1" x14ac:dyDescent="0.2">
      <c r="N2020" s="162"/>
    </row>
    <row r="2021" spans="1:32" s="41" customFormat="1" x14ac:dyDescent="0.2">
      <c r="K2021" s="212" t="s">
        <v>177</v>
      </c>
      <c r="L2021" s="213"/>
      <c r="M2021" s="213"/>
      <c r="N2021" s="213"/>
      <c r="O2021" s="213"/>
      <c r="P2021" s="213"/>
      <c r="Q2021" s="213"/>
      <c r="R2021" s="213"/>
    </row>
    <row r="2022" spans="1:32" s="41" customFormat="1" x14ac:dyDescent="0.2">
      <c r="K2022" s="163"/>
      <c r="L2022" s="162"/>
      <c r="M2022" s="162"/>
      <c r="N2022" s="162"/>
      <c r="O2022" s="162"/>
      <c r="P2022" s="162"/>
      <c r="Q2022" s="162"/>
      <c r="R2022" s="162"/>
    </row>
    <row r="2023" spans="1:32" s="41" customFormat="1" x14ac:dyDescent="0.2">
      <c r="K2023" s="221" t="s">
        <v>7262</v>
      </c>
      <c r="L2023" s="219"/>
      <c r="M2023" s="219"/>
      <c r="N2023" s="219"/>
      <c r="O2023" s="219"/>
      <c r="P2023" s="219"/>
      <c r="Q2023" s="219"/>
      <c r="R2023" s="219"/>
    </row>
    <row r="2024" spans="1:32" s="41" customFormat="1" x14ac:dyDescent="0.2">
      <c r="K2024" s="214" t="s">
        <v>7263</v>
      </c>
      <c r="L2024" s="215"/>
      <c r="M2024" s="215"/>
      <c r="N2024" s="215"/>
      <c r="O2024" s="215"/>
      <c r="P2024" s="215"/>
      <c r="Q2024" s="215"/>
      <c r="R2024" s="215"/>
    </row>
    <row r="2025" spans="1:32" s="41" customFormat="1" x14ac:dyDescent="0.2">
      <c r="K2025" s="203"/>
      <c r="N2025" s="162"/>
    </row>
    <row r="2026" spans="1:32" s="41" customFormat="1" x14ac:dyDescent="0.2">
      <c r="N2026" s="162"/>
    </row>
    <row r="2027" spans="1:32" s="41" customFormat="1" x14ac:dyDescent="0.2">
      <c r="N2027" s="162"/>
    </row>
    <row r="2028" spans="1:32" s="41" customFormat="1" x14ac:dyDescent="0.2">
      <c r="N2028" s="162"/>
    </row>
    <row r="2029" spans="1:32" s="41" customFormat="1" x14ac:dyDescent="0.2">
      <c r="N2029" s="162"/>
    </row>
    <row r="2030" spans="1:32" s="41" customFormat="1" x14ac:dyDescent="0.2">
      <c r="N2030" s="162"/>
    </row>
    <row r="2031" spans="1:32" s="41" customFormat="1" x14ac:dyDescent="0.2">
      <c r="N2031" s="162"/>
    </row>
    <row r="2032" spans="1:32" s="41" customFormat="1" x14ac:dyDescent="0.2">
      <c r="N2032" s="162"/>
    </row>
    <row r="2033" spans="1:32" s="41" customFormat="1" x14ac:dyDescent="0.2">
      <c r="N2033" s="162"/>
    </row>
    <row r="2034" spans="1:32" s="41" customFormat="1" x14ac:dyDescent="0.2">
      <c r="N2034" s="162"/>
    </row>
    <row r="2035" spans="1:32" s="41" customFormat="1" x14ac:dyDescent="0.2">
      <c r="N2035" s="162"/>
    </row>
    <row r="2036" spans="1:32" s="41" customFormat="1" x14ac:dyDescent="0.2">
      <c r="N2036" s="162"/>
    </row>
    <row r="2037" spans="1:32" s="41" customFormat="1" x14ac:dyDescent="0.2">
      <c r="N2037" s="162"/>
    </row>
    <row r="2038" spans="1:32" s="41" customFormat="1" x14ac:dyDescent="0.2">
      <c r="N2038" s="162"/>
    </row>
    <row r="2039" spans="1:32" s="41" customFormat="1" x14ac:dyDescent="0.2">
      <c r="N2039" s="162"/>
    </row>
    <row r="2040" spans="1:32" s="41" customFormat="1" x14ac:dyDescent="0.2">
      <c r="N2040" s="162"/>
    </row>
    <row r="2041" spans="1:32" s="41" customFormat="1" x14ac:dyDescent="0.2">
      <c r="N2041" s="162"/>
    </row>
    <row r="2042" spans="1:32" s="41" customFormat="1" x14ac:dyDescent="0.2">
      <c r="N2042" s="162"/>
    </row>
    <row r="2043" spans="1:32" s="41" customFormat="1" x14ac:dyDescent="0.2">
      <c r="N2043" s="162"/>
    </row>
    <row r="2044" spans="1:32" s="41" customFormat="1" x14ac:dyDescent="0.2">
      <c r="N2044" s="162"/>
    </row>
    <row r="2045" spans="1:32" s="41" customFormat="1" x14ac:dyDescent="0.2">
      <c r="N2045" s="162"/>
    </row>
    <row r="2046" spans="1:32" s="41" customFormat="1" ht="15" thickBot="1" x14ac:dyDescent="0.25">
      <c r="N2046" s="162"/>
    </row>
    <row r="2047" spans="1:32" s="41" customFormat="1" ht="42" customHeight="1" thickBot="1" x14ac:dyDescent="0.25">
      <c r="A2047" s="240" t="s">
        <v>131</v>
      </c>
      <c r="B2047" s="241"/>
      <c r="C2047" s="241"/>
      <c r="D2047" s="241"/>
      <c r="E2047" s="241"/>
      <c r="F2047" s="241"/>
      <c r="G2047" s="242"/>
      <c r="H2047" s="74"/>
      <c r="I2047" s="74"/>
      <c r="J2047" s="74"/>
      <c r="K2047" s="74"/>
      <c r="N2047" s="162"/>
    </row>
    <row r="2048" spans="1:32" s="41" customFormat="1" ht="15.75" thickBot="1" x14ac:dyDescent="0.3">
      <c r="A2048" s="28"/>
      <c r="B2048" s="234" t="str">
        <f>+B73</f>
        <v>Successful</v>
      </c>
      <c r="C2048" s="235"/>
      <c r="D2048" s="236" t="str">
        <f>+D73</f>
        <v>Unsuccessful</v>
      </c>
      <c r="E2048" s="237"/>
      <c r="F2048" s="238" t="s">
        <v>16</v>
      </c>
      <c r="G2048" s="239"/>
      <c r="H2048" s="206">
        <f>+H73</f>
        <v>2021</v>
      </c>
      <c r="I2048" s="207"/>
      <c r="J2048" s="208"/>
      <c r="K2048" s="206">
        <f>+K73</f>
        <v>2020</v>
      </c>
      <c r="L2048" s="207"/>
      <c r="M2048" s="208"/>
      <c r="N2048" s="206">
        <f>+N73</f>
        <v>2019</v>
      </c>
      <c r="O2048" s="207"/>
      <c r="P2048" s="208"/>
      <c r="Q2048" s="206">
        <f>+Q73</f>
        <v>2018</v>
      </c>
      <c r="R2048" s="207"/>
      <c r="S2048" s="208"/>
      <c r="T2048" s="206">
        <f>+T73</f>
        <v>2017</v>
      </c>
      <c r="U2048" s="207"/>
      <c r="V2048" s="208"/>
      <c r="W2048" s="209">
        <f>+W73</f>
        <v>2016</v>
      </c>
      <c r="X2048" s="210"/>
      <c r="Y2048" s="211"/>
      <c r="Z2048" s="209">
        <f>+Z73</f>
        <v>2015</v>
      </c>
      <c r="AA2048" s="210"/>
      <c r="AB2048" s="211"/>
      <c r="AC2048" s="165"/>
      <c r="AF2048" s="162"/>
    </row>
    <row r="2049" spans="1:36" s="41" customFormat="1" ht="29.25" customHeight="1" thickBot="1" x14ac:dyDescent="0.25">
      <c r="A2049" s="28"/>
      <c r="B2049" s="29" t="s">
        <v>37</v>
      </c>
      <c r="C2049" s="30" t="s">
        <v>38</v>
      </c>
      <c r="D2049" s="29" t="s">
        <v>37</v>
      </c>
      <c r="E2049" s="30" t="s">
        <v>38</v>
      </c>
      <c r="F2049" s="29" t="s">
        <v>37</v>
      </c>
      <c r="G2049" s="30" t="s">
        <v>38</v>
      </c>
      <c r="H2049" s="186" t="s">
        <v>132</v>
      </c>
      <c r="I2049" s="187" t="s">
        <v>133</v>
      </c>
      <c r="J2049" s="44" t="s">
        <v>16</v>
      </c>
      <c r="K2049" s="186" t="s">
        <v>132</v>
      </c>
      <c r="L2049" s="187" t="s">
        <v>133</v>
      </c>
      <c r="M2049" s="44" t="s">
        <v>16</v>
      </c>
      <c r="N2049" s="186" t="s">
        <v>132</v>
      </c>
      <c r="O2049" s="187" t="s">
        <v>133</v>
      </c>
      <c r="P2049" s="44" t="s">
        <v>16</v>
      </c>
      <c r="Q2049" s="186" t="s">
        <v>132</v>
      </c>
      <c r="R2049" s="187" t="s">
        <v>133</v>
      </c>
      <c r="S2049" s="44" t="s">
        <v>16</v>
      </c>
      <c r="T2049" s="186" t="s">
        <v>132</v>
      </c>
      <c r="U2049" s="187" t="s">
        <v>133</v>
      </c>
      <c r="V2049" s="44" t="s">
        <v>16</v>
      </c>
      <c r="W2049" s="186" t="s">
        <v>132</v>
      </c>
      <c r="X2049" s="187" t="s">
        <v>133</v>
      </c>
      <c r="Y2049" s="44" t="s">
        <v>16</v>
      </c>
      <c r="Z2049" s="186" t="s">
        <v>132</v>
      </c>
      <c r="AA2049" s="187" t="s">
        <v>133</v>
      </c>
      <c r="AB2049" s="44" t="s">
        <v>16</v>
      </c>
    </row>
    <row r="2050" spans="1:36" s="41" customFormat="1" x14ac:dyDescent="0.2">
      <c r="A2050" s="98" t="s">
        <v>134</v>
      </c>
      <c r="B2050" s="31">
        <f>COUNTIFS(DATA!$BN$3:$BN$7183,1,DATA!$D$3:$D$7183,260)</f>
        <v>0</v>
      </c>
      <c r="C2050" s="35">
        <f>IF(B2054=0,0,+B2050/B2054)</f>
        <v>0</v>
      </c>
      <c r="D2050" s="31">
        <f>COUNTIFS(DATA!$BN$3:$BN$7183,1,DATA!$D$3:$D$7183,280)</f>
        <v>0</v>
      </c>
      <c r="E2050" s="35">
        <f>+D2050/D2054</f>
        <v>0</v>
      </c>
      <c r="F2050" s="31">
        <f>+D2050+B2050</f>
        <v>0</v>
      </c>
      <c r="G2050" s="35">
        <f>+F2050/F2054</f>
        <v>0</v>
      </c>
      <c r="H2050" s="181">
        <v>0.125</v>
      </c>
      <c r="I2050" s="180">
        <v>0.05</v>
      </c>
      <c r="J2050" s="182">
        <v>7.1428571428571425E-2</v>
      </c>
      <c r="K2050" s="181">
        <v>0.14285714285714285</v>
      </c>
      <c r="L2050" s="180">
        <v>8.3333333333333329E-2</v>
      </c>
      <c r="M2050" s="182">
        <v>9.6774193548387094E-2</v>
      </c>
      <c r="N2050" s="181">
        <v>0.41666666666666669</v>
      </c>
      <c r="O2050" s="180">
        <v>0.10810810810810811</v>
      </c>
      <c r="P2050" s="182">
        <v>0.18367346938775511</v>
      </c>
      <c r="Q2050" s="181">
        <v>0.05</v>
      </c>
      <c r="R2050" s="180">
        <v>0.11</v>
      </c>
      <c r="S2050" s="182">
        <v>0.08</v>
      </c>
      <c r="T2050" s="181">
        <v>8.6956521739130432E-2</v>
      </c>
      <c r="U2050" s="180">
        <v>0.19444444444444445</v>
      </c>
      <c r="V2050" s="182">
        <v>0.15254237288135594</v>
      </c>
      <c r="W2050" s="181">
        <v>0.27777777777777779</v>
      </c>
      <c r="X2050" s="180">
        <v>3.5714285714285712E-2</v>
      </c>
      <c r="Y2050" s="182">
        <v>0.13043478260869565</v>
      </c>
      <c r="Z2050" s="181">
        <v>0</v>
      </c>
      <c r="AA2050" s="180">
        <v>0.1111111111111111</v>
      </c>
      <c r="AB2050" s="182">
        <v>7.1428571428571425E-2</v>
      </c>
      <c r="AC2050" s="163"/>
      <c r="AD2050" s="162"/>
      <c r="AE2050" s="162"/>
      <c r="AF2050" s="162"/>
      <c r="AG2050" s="162"/>
      <c r="AH2050" s="162"/>
      <c r="AI2050" s="162"/>
      <c r="AJ2050" s="162"/>
    </row>
    <row r="2051" spans="1:36" s="41" customFormat="1" ht="28.5" customHeight="1" x14ac:dyDescent="0.2">
      <c r="A2051" s="99" t="s">
        <v>135</v>
      </c>
      <c r="B2051" s="31">
        <f>COUNTIFS(DATA!$BN$3:$BN$7183,2,DATA!$D$3:$D$7183,260)</f>
        <v>8</v>
      </c>
      <c r="C2051" s="35">
        <f>IF(B2054=0,0,+B2051/B2054)</f>
        <v>0.8</v>
      </c>
      <c r="D2051" s="42">
        <f>COUNTIFS(DATA!$BN$3:$BN$7183,2,DATA!$D$3:$D$7183,280)</f>
        <v>9</v>
      </c>
      <c r="E2051" s="35">
        <f>+D2051/D2054</f>
        <v>0.6428571428571429</v>
      </c>
      <c r="F2051" s="42">
        <f t="shared" ref="F2051:F2053" si="174">+D2051+B2051</f>
        <v>17</v>
      </c>
      <c r="G2051" s="35">
        <f>+F2051/F2054</f>
        <v>0.70833333333333337</v>
      </c>
      <c r="H2051" s="181">
        <v>0.75</v>
      </c>
      <c r="I2051" s="180">
        <v>0.75</v>
      </c>
      <c r="J2051" s="182">
        <v>0.75</v>
      </c>
      <c r="K2051" s="181">
        <v>0.8571428571428571</v>
      </c>
      <c r="L2051" s="180">
        <v>0.79166666666666663</v>
      </c>
      <c r="M2051" s="182">
        <v>0.80645161290322576</v>
      </c>
      <c r="N2051" s="181">
        <v>0.58333333333333337</v>
      </c>
      <c r="O2051" s="180">
        <v>0.64864864864864868</v>
      </c>
      <c r="P2051" s="182">
        <v>0.63265306122448983</v>
      </c>
      <c r="Q2051" s="181">
        <v>0.7</v>
      </c>
      <c r="R2051" s="180">
        <v>0.68</v>
      </c>
      <c r="S2051" s="182">
        <v>0.69</v>
      </c>
      <c r="T2051" s="181">
        <v>0.69565217391304346</v>
      </c>
      <c r="U2051" s="180">
        <v>0.63888888888888884</v>
      </c>
      <c r="V2051" s="182">
        <v>0.66101694915254239</v>
      </c>
      <c r="W2051" s="181">
        <v>0.61111111111111116</v>
      </c>
      <c r="X2051" s="180">
        <v>0.8214285714285714</v>
      </c>
      <c r="Y2051" s="182">
        <v>0.73913043478260865</v>
      </c>
      <c r="Z2051" s="181">
        <v>0.6</v>
      </c>
      <c r="AA2051" s="180">
        <v>0.77777777777777779</v>
      </c>
      <c r="AB2051" s="182">
        <v>0.7142857142857143</v>
      </c>
    </row>
    <row r="2052" spans="1:36" s="41" customFormat="1" ht="29.25" customHeight="1" x14ac:dyDescent="0.2">
      <c r="A2052" s="92" t="s">
        <v>94</v>
      </c>
      <c r="B2052" s="31">
        <f>COUNTIFS(DATA!$BN$3:$BN$7183,"3",DATA!$D$3:$D$7183,260)</f>
        <v>2</v>
      </c>
      <c r="C2052" s="35">
        <f>IF(B2054=0,0,+B2052/B2054)</f>
        <v>0.2</v>
      </c>
      <c r="D2052" s="42">
        <f>COUNTIFS(DATA!$BN$3:$BN$7183,"3",DATA!$D$3:$D$7183,280)</f>
        <v>5</v>
      </c>
      <c r="E2052" s="35">
        <f>+D2052/D2054</f>
        <v>0.35714285714285715</v>
      </c>
      <c r="F2052" s="42">
        <f t="shared" si="174"/>
        <v>7</v>
      </c>
      <c r="G2052" s="35">
        <f>+F2052/F2054</f>
        <v>0.29166666666666669</v>
      </c>
      <c r="H2052" s="181">
        <v>0.125</v>
      </c>
      <c r="I2052" s="180">
        <v>0.2</v>
      </c>
      <c r="J2052" s="182">
        <v>0.17857142857142858</v>
      </c>
      <c r="K2052" s="181">
        <v>0</v>
      </c>
      <c r="L2052" s="180">
        <v>8.3333333333333329E-2</v>
      </c>
      <c r="M2052" s="182">
        <v>6.4516129032258063E-2</v>
      </c>
      <c r="N2052" s="181">
        <v>0</v>
      </c>
      <c r="O2052" s="180">
        <v>0.21621621621621623</v>
      </c>
      <c r="P2052" s="182">
        <v>0.16326530612244897</v>
      </c>
      <c r="Q2052" s="181">
        <v>0.15</v>
      </c>
      <c r="R2052" s="180">
        <v>0.21</v>
      </c>
      <c r="S2052" s="182">
        <v>0.19</v>
      </c>
      <c r="T2052" s="181">
        <v>0.21739130434782608</v>
      </c>
      <c r="U2052" s="180">
        <v>0.1388888888888889</v>
      </c>
      <c r="V2052" s="182">
        <v>0.16949152542372881</v>
      </c>
      <c r="W2052" s="181">
        <v>0.1111111111111111</v>
      </c>
      <c r="X2052" s="180">
        <v>0.10714285714285714</v>
      </c>
      <c r="Y2052" s="182">
        <v>0.10869565217391304</v>
      </c>
      <c r="Z2052" s="181">
        <v>0.26666666666666666</v>
      </c>
      <c r="AA2052" s="180">
        <v>7.407407407407407E-2</v>
      </c>
      <c r="AB2052" s="182">
        <v>0.14285714285714285</v>
      </c>
    </row>
    <row r="2053" spans="1:36" s="41" customFormat="1" ht="15" thickBot="1" x14ac:dyDescent="0.25">
      <c r="A2053" s="93" t="s">
        <v>39</v>
      </c>
      <c r="B2053" s="31">
        <f>COUNTIFS(DATA!$BN$3:$BN$7183,"4",DATA!$D$3:$D$7183,260)</f>
        <v>0</v>
      </c>
      <c r="C2053" s="35">
        <f>IF(B2054=0,0,+B2053/B2054)</f>
        <v>0</v>
      </c>
      <c r="D2053" s="42">
        <f>COUNTIFS(DATA!$BN$3:$BN$7183,"4",DATA!$D$3:$D$7183,280)</f>
        <v>0</v>
      </c>
      <c r="E2053" s="35">
        <f>+D2053/D2054</f>
        <v>0</v>
      </c>
      <c r="F2053" s="42">
        <f t="shared" si="174"/>
        <v>0</v>
      </c>
      <c r="G2053" s="35">
        <f>+F2053/F2054</f>
        <v>0</v>
      </c>
      <c r="H2053" s="181">
        <v>0</v>
      </c>
      <c r="I2053" s="180">
        <v>0</v>
      </c>
      <c r="J2053" s="182">
        <v>0</v>
      </c>
      <c r="K2053" s="181">
        <v>0</v>
      </c>
      <c r="L2053" s="180">
        <v>4.1666666666666664E-2</v>
      </c>
      <c r="M2053" s="182">
        <v>3.2258064516129031E-2</v>
      </c>
      <c r="N2053" s="181">
        <v>0</v>
      </c>
      <c r="O2053" s="180">
        <v>2.7027027027027029E-2</v>
      </c>
      <c r="P2053" s="182">
        <v>2.0408163265306121E-2</v>
      </c>
      <c r="Q2053" s="181">
        <v>0.1</v>
      </c>
      <c r="R2053" s="180">
        <v>0</v>
      </c>
      <c r="S2053" s="182">
        <v>0.04</v>
      </c>
      <c r="T2053" s="181">
        <v>0</v>
      </c>
      <c r="U2053" s="180">
        <v>2.7777777777777776E-2</v>
      </c>
      <c r="V2053" s="182">
        <v>1.6949152542372881E-2</v>
      </c>
      <c r="W2053" s="181">
        <v>0</v>
      </c>
      <c r="X2053" s="180">
        <v>3.5714285714285712E-2</v>
      </c>
      <c r="Y2053" s="182">
        <v>2.1739130434782608E-2</v>
      </c>
      <c r="Z2053" s="181">
        <v>0.13333333333333333</v>
      </c>
      <c r="AA2053" s="180">
        <v>3.7037037037037035E-2</v>
      </c>
      <c r="AB2053" s="182">
        <v>7.1428571428571425E-2</v>
      </c>
      <c r="AC2053" s="74"/>
      <c r="AF2053" s="162"/>
    </row>
    <row r="2054" spans="1:36" s="41" customFormat="1" ht="15.75" thickBot="1" x14ac:dyDescent="0.3">
      <c r="A2054" s="111" t="s">
        <v>16</v>
      </c>
      <c r="B2054" s="101">
        <f>SUM(B2050:B2053)</f>
        <v>10</v>
      </c>
      <c r="C2054" s="114">
        <f>IF(B2054=0,0,+B2054/B2054)</f>
        <v>1</v>
      </c>
      <c r="D2054" s="101">
        <f>SUM(D2050:D2053)</f>
        <v>14</v>
      </c>
      <c r="E2054" s="114">
        <f>+D2054/D2054</f>
        <v>1</v>
      </c>
      <c r="F2054" s="101">
        <f>SUM(F2050:F2053)</f>
        <v>24</v>
      </c>
      <c r="G2054" s="114">
        <f>+F2054/F2054</f>
        <v>1</v>
      </c>
      <c r="H2054" s="183">
        <v>1</v>
      </c>
      <c r="I2054" s="184">
        <v>1</v>
      </c>
      <c r="J2054" s="185">
        <v>1</v>
      </c>
      <c r="K2054" s="183">
        <v>1</v>
      </c>
      <c r="L2054" s="184">
        <v>1</v>
      </c>
      <c r="M2054" s="185">
        <v>1</v>
      </c>
      <c r="N2054" s="183">
        <v>1</v>
      </c>
      <c r="O2054" s="184">
        <v>1</v>
      </c>
      <c r="P2054" s="185">
        <v>1</v>
      </c>
      <c r="Q2054" s="183">
        <v>1</v>
      </c>
      <c r="R2054" s="184">
        <v>1</v>
      </c>
      <c r="S2054" s="185">
        <v>1</v>
      </c>
      <c r="T2054" s="183">
        <v>1</v>
      </c>
      <c r="U2054" s="184">
        <v>1</v>
      </c>
      <c r="V2054" s="185">
        <v>1</v>
      </c>
      <c r="W2054" s="183">
        <v>1</v>
      </c>
      <c r="X2054" s="184">
        <v>1</v>
      </c>
      <c r="Y2054" s="185">
        <v>1</v>
      </c>
      <c r="Z2054" s="183">
        <v>1</v>
      </c>
      <c r="AA2054" s="184">
        <v>1</v>
      </c>
      <c r="AB2054" s="185">
        <v>1</v>
      </c>
      <c r="AF2054" s="162"/>
    </row>
    <row r="2055" spans="1:36" s="41" customFormat="1" x14ac:dyDescent="0.2">
      <c r="N2055" s="162"/>
    </row>
    <row r="2056" spans="1:36" s="41" customFormat="1" ht="14.25" customHeight="1" x14ac:dyDescent="0.2">
      <c r="K2056" s="213" t="s">
        <v>7266</v>
      </c>
      <c r="L2056" s="213"/>
      <c r="M2056" s="213"/>
      <c r="N2056" s="213"/>
      <c r="O2056" s="213"/>
      <c r="P2056" s="213"/>
      <c r="Q2056" s="213"/>
      <c r="R2056" s="213"/>
    </row>
    <row r="2057" spans="1:36" s="41" customFormat="1" x14ac:dyDescent="0.2">
      <c r="K2057" s="213"/>
      <c r="L2057" s="213"/>
      <c r="M2057" s="213"/>
      <c r="N2057" s="213"/>
      <c r="O2057" s="213"/>
      <c r="P2057" s="213"/>
      <c r="Q2057" s="213"/>
      <c r="R2057" s="213"/>
    </row>
    <row r="2058" spans="1:36" s="41" customFormat="1" ht="14.25" customHeight="1" x14ac:dyDescent="0.2">
      <c r="K2058" s="219" t="s">
        <v>7264</v>
      </c>
      <c r="L2058" s="219"/>
      <c r="M2058" s="219"/>
      <c r="N2058" s="219"/>
      <c r="O2058" s="219"/>
      <c r="P2058" s="219"/>
      <c r="Q2058" s="219"/>
      <c r="R2058" s="219"/>
    </row>
    <row r="2059" spans="1:36" s="41" customFormat="1" x14ac:dyDescent="0.2">
      <c r="K2059" s="219"/>
      <c r="L2059" s="219"/>
      <c r="M2059" s="219"/>
      <c r="N2059" s="219"/>
      <c r="O2059" s="219"/>
      <c r="P2059" s="219"/>
      <c r="Q2059" s="219"/>
      <c r="R2059" s="219"/>
    </row>
    <row r="2060" spans="1:36" s="41" customFormat="1" ht="14.25" customHeight="1" x14ac:dyDescent="0.2">
      <c r="K2060" s="215" t="s">
        <v>7265</v>
      </c>
      <c r="L2060" s="215"/>
      <c r="M2060" s="215"/>
      <c r="N2060" s="215"/>
      <c r="O2060" s="215"/>
      <c r="P2060" s="215"/>
      <c r="Q2060" s="215"/>
      <c r="R2060" s="215"/>
    </row>
    <row r="2061" spans="1:36" s="41" customFormat="1" x14ac:dyDescent="0.2">
      <c r="K2061" s="215"/>
      <c r="L2061" s="215"/>
      <c r="M2061" s="215"/>
      <c r="N2061" s="215"/>
      <c r="O2061" s="215"/>
      <c r="P2061" s="215"/>
      <c r="Q2061" s="215"/>
      <c r="R2061" s="215"/>
    </row>
    <row r="2062" spans="1:36" s="41" customFormat="1" x14ac:dyDescent="0.2">
      <c r="N2062" s="162"/>
    </row>
    <row r="2063" spans="1:36" s="41" customFormat="1" x14ac:dyDescent="0.2">
      <c r="N2063" s="162"/>
    </row>
    <row r="2064" spans="1:36" s="41" customFormat="1" x14ac:dyDescent="0.2">
      <c r="N2064" s="162"/>
    </row>
    <row r="2065" spans="14:14" s="41" customFormat="1" x14ac:dyDescent="0.2">
      <c r="N2065" s="162"/>
    </row>
    <row r="2066" spans="14:14" s="41" customFormat="1" x14ac:dyDescent="0.2">
      <c r="N2066" s="162"/>
    </row>
    <row r="2067" spans="14:14" s="41" customFormat="1" x14ac:dyDescent="0.2">
      <c r="N2067" s="162"/>
    </row>
    <row r="2068" spans="14:14" s="41" customFormat="1" x14ac:dyDescent="0.2">
      <c r="N2068" s="162"/>
    </row>
    <row r="2069" spans="14:14" s="41" customFormat="1" x14ac:dyDescent="0.2">
      <c r="N2069" s="162"/>
    </row>
    <row r="2070" spans="14:14" s="41" customFormat="1" x14ac:dyDescent="0.2">
      <c r="N2070" s="162"/>
    </row>
    <row r="2071" spans="14:14" s="41" customFormat="1" x14ac:dyDescent="0.2">
      <c r="N2071" s="162"/>
    </row>
    <row r="2072" spans="14:14" s="41" customFormat="1" x14ac:dyDescent="0.2">
      <c r="N2072" s="162"/>
    </row>
    <row r="2073" spans="14:14" s="41" customFormat="1" x14ac:dyDescent="0.2">
      <c r="N2073" s="162"/>
    </row>
    <row r="2074" spans="14:14" s="41" customFormat="1" x14ac:dyDescent="0.2">
      <c r="N2074" s="162"/>
    </row>
    <row r="2075" spans="14:14" s="41" customFormat="1" x14ac:dyDescent="0.2">
      <c r="N2075" s="162"/>
    </row>
    <row r="2076" spans="14:14" s="41" customFormat="1" x14ac:dyDescent="0.2">
      <c r="N2076" s="162"/>
    </row>
    <row r="2077" spans="14:14" s="41" customFormat="1" x14ac:dyDescent="0.2">
      <c r="N2077" s="162"/>
    </row>
    <row r="2078" spans="14:14" s="41" customFormat="1" x14ac:dyDescent="0.2">
      <c r="N2078" s="162"/>
    </row>
    <row r="2079" spans="14:14" s="41" customFormat="1" x14ac:dyDescent="0.2">
      <c r="N2079" s="162"/>
    </row>
    <row r="2080" spans="14:14" s="41" customFormat="1" x14ac:dyDescent="0.2">
      <c r="N2080" s="162"/>
    </row>
    <row r="2081" spans="14:14" s="41" customFormat="1" x14ac:dyDescent="0.2">
      <c r="N2081" s="162"/>
    </row>
  </sheetData>
  <sheetProtection password="EEC5" sheet="1" objects="1" scenarios="1"/>
  <mergeCells count="852">
    <mergeCell ref="H1591:J1591"/>
    <mergeCell ref="H1943:J1943"/>
    <mergeCell ref="H1978:J1978"/>
    <mergeCell ref="H2013:J2013"/>
    <mergeCell ref="H2048:J2048"/>
    <mergeCell ref="K2048:M2048"/>
    <mergeCell ref="K1731:M1731"/>
    <mergeCell ref="K1767:M1767"/>
    <mergeCell ref="K1802:M1802"/>
    <mergeCell ref="K1837:M1837"/>
    <mergeCell ref="K1872:M1872"/>
    <mergeCell ref="K1907:M1907"/>
    <mergeCell ref="K1943:M1943"/>
    <mergeCell ref="K1978:M1978"/>
    <mergeCell ref="K2013:M2013"/>
    <mergeCell ref="K1990:R1991"/>
    <mergeCell ref="K1810:R1811"/>
    <mergeCell ref="K1812:R1813"/>
    <mergeCell ref="Q1943:S1943"/>
    <mergeCell ref="K1845:R1846"/>
    <mergeCell ref="K1847:R1848"/>
    <mergeCell ref="N2013:P2013"/>
    <mergeCell ref="N2048:P2048"/>
    <mergeCell ref="N1872:P1872"/>
    <mergeCell ref="K1567:R1567"/>
    <mergeCell ref="K1565:R1565"/>
    <mergeCell ref="K1568:R1569"/>
    <mergeCell ref="K1393:R1394"/>
    <mergeCell ref="H1312:J1312"/>
    <mergeCell ref="H1348:J1348"/>
    <mergeCell ref="H1382:J1382"/>
    <mergeCell ref="H1415:J1415"/>
    <mergeCell ref="H1450:J1450"/>
    <mergeCell ref="H1485:J1485"/>
    <mergeCell ref="H1520:J1520"/>
    <mergeCell ref="H1555:J1555"/>
    <mergeCell ref="H996:J996"/>
    <mergeCell ref="H1031:J1031"/>
    <mergeCell ref="H1066:J1066"/>
    <mergeCell ref="H1101:J1101"/>
    <mergeCell ref="H1137:J1137"/>
    <mergeCell ref="H1172:J1172"/>
    <mergeCell ref="H1207:J1207"/>
    <mergeCell ref="H1242:J1242"/>
    <mergeCell ref="H1277:J1277"/>
    <mergeCell ref="H679:J679"/>
    <mergeCell ref="H716:J716"/>
    <mergeCell ref="H751:J751"/>
    <mergeCell ref="H786:J786"/>
    <mergeCell ref="H821:J821"/>
    <mergeCell ref="H856:J856"/>
    <mergeCell ref="H891:J891"/>
    <mergeCell ref="H926:J926"/>
    <mergeCell ref="H961:J961"/>
    <mergeCell ref="H363:J363"/>
    <mergeCell ref="H399:J399"/>
    <mergeCell ref="H437:J437"/>
    <mergeCell ref="H472:J472"/>
    <mergeCell ref="H507:J507"/>
    <mergeCell ref="H542:J542"/>
    <mergeCell ref="H574:J574"/>
    <mergeCell ref="H609:J609"/>
    <mergeCell ref="H644:J644"/>
    <mergeCell ref="T291:V291"/>
    <mergeCell ref="Q327:S327"/>
    <mergeCell ref="N22:N23"/>
    <mergeCell ref="H73:J73"/>
    <mergeCell ref="H109:J109"/>
    <mergeCell ref="H146:J146"/>
    <mergeCell ref="H182:J182"/>
    <mergeCell ref="H218:J218"/>
    <mergeCell ref="H254:J254"/>
    <mergeCell ref="H291:J291"/>
    <mergeCell ref="H327:J327"/>
    <mergeCell ref="K301:R302"/>
    <mergeCell ref="K232:R233"/>
    <mergeCell ref="O22:O23"/>
    <mergeCell ref="K73:M73"/>
    <mergeCell ref="K109:M109"/>
    <mergeCell ref="K146:M146"/>
    <mergeCell ref="K182:M182"/>
    <mergeCell ref="K218:M218"/>
    <mergeCell ref="K254:M254"/>
    <mergeCell ref="K291:M291"/>
    <mergeCell ref="K327:M327"/>
    <mergeCell ref="K363:M363"/>
    <mergeCell ref="K399:M399"/>
    <mergeCell ref="K437:M437"/>
    <mergeCell ref="K472:M472"/>
    <mergeCell ref="K507:M507"/>
    <mergeCell ref="K542:M542"/>
    <mergeCell ref="K574:M574"/>
    <mergeCell ref="K609:M609"/>
    <mergeCell ref="K644:M644"/>
    <mergeCell ref="K716:M716"/>
    <mergeCell ref="K751:M751"/>
    <mergeCell ref="K1277:M1277"/>
    <mergeCell ref="K1673:R1674"/>
    <mergeCell ref="N1907:P1907"/>
    <mergeCell ref="N1943:P1943"/>
    <mergeCell ref="N1978:P1978"/>
    <mergeCell ref="K1814:R1815"/>
    <mergeCell ref="N1348:P1348"/>
    <mergeCell ref="N1382:P1382"/>
    <mergeCell ref="N1415:P1415"/>
    <mergeCell ref="N1450:P1450"/>
    <mergeCell ref="N1485:P1485"/>
    <mergeCell ref="N1520:P1520"/>
    <mergeCell ref="N1555:P1555"/>
    <mergeCell ref="N1591:P1591"/>
    <mergeCell ref="N1626:P1626"/>
    <mergeCell ref="N1661:P1661"/>
    <mergeCell ref="N1696:P1696"/>
    <mergeCell ref="N1731:P1731"/>
    <mergeCell ref="N1767:P1767"/>
    <mergeCell ref="N1802:P1802"/>
    <mergeCell ref="N1837:P1837"/>
    <mergeCell ref="K1348:M1348"/>
    <mergeCell ref="T1137:V1137"/>
    <mergeCell ref="K1185:R1186"/>
    <mergeCell ref="Q1207:S1207"/>
    <mergeCell ref="N1207:P1207"/>
    <mergeCell ref="W1312:Y1312"/>
    <mergeCell ref="N1031:P1031"/>
    <mergeCell ref="N1066:P1066"/>
    <mergeCell ref="K996:M996"/>
    <mergeCell ref="K1031:M1031"/>
    <mergeCell ref="K1066:M1066"/>
    <mergeCell ref="K1101:M1101"/>
    <mergeCell ref="K1137:M1137"/>
    <mergeCell ref="K1172:M1172"/>
    <mergeCell ref="K1207:M1207"/>
    <mergeCell ref="K1242:M1242"/>
    <mergeCell ref="K1312:M1312"/>
    <mergeCell ref="W1207:Y1207"/>
    <mergeCell ref="W1137:Y1137"/>
    <mergeCell ref="W1172:Y1172"/>
    <mergeCell ref="W291:Y291"/>
    <mergeCell ref="W507:Y507"/>
    <mergeCell ref="Q2013:S2013"/>
    <mergeCell ref="Q2048:S2048"/>
    <mergeCell ref="Q1485:S1485"/>
    <mergeCell ref="Q1520:S1520"/>
    <mergeCell ref="Q1555:S1555"/>
    <mergeCell ref="Q1591:S1591"/>
    <mergeCell ref="Q1626:S1626"/>
    <mergeCell ref="Q1661:S1661"/>
    <mergeCell ref="Q1696:S1696"/>
    <mergeCell ref="Q1731:S1731"/>
    <mergeCell ref="Q1767:S1767"/>
    <mergeCell ref="K1566:R1566"/>
    <mergeCell ref="K1704:R1704"/>
    <mergeCell ref="K1677:R1677"/>
    <mergeCell ref="K1920:R1921"/>
    <mergeCell ref="K1924:R1925"/>
    <mergeCell ref="K1954:R1955"/>
    <mergeCell ref="K1986:R1987"/>
    <mergeCell ref="K1988:R1989"/>
    <mergeCell ref="T437:V437"/>
    <mergeCell ref="K1922:R1923"/>
    <mergeCell ref="T1312:V1312"/>
    <mergeCell ref="T399:V399"/>
    <mergeCell ref="W609:Y609"/>
    <mergeCell ref="K520:R520"/>
    <mergeCell ref="K558:R558"/>
    <mergeCell ref="W574:Y574"/>
    <mergeCell ref="Q644:S644"/>
    <mergeCell ref="N73:P73"/>
    <mergeCell ref="N109:P109"/>
    <mergeCell ref="N146:P146"/>
    <mergeCell ref="N182:P182"/>
    <mergeCell ref="N218:P218"/>
    <mergeCell ref="N254:P254"/>
    <mergeCell ref="N291:P291"/>
    <mergeCell ref="N327:P327"/>
    <mergeCell ref="N363:P363"/>
    <mergeCell ref="Q73:S73"/>
    <mergeCell ref="Q109:S109"/>
    <mergeCell ref="Q146:S146"/>
    <mergeCell ref="Q182:S182"/>
    <mergeCell ref="Q218:S218"/>
    <mergeCell ref="Q254:S254"/>
    <mergeCell ref="Q291:S291"/>
    <mergeCell ref="T644:V644"/>
    <mergeCell ref="Q363:S363"/>
    <mergeCell ref="N399:P399"/>
    <mergeCell ref="N437:P437"/>
    <mergeCell ref="N472:P472"/>
    <mergeCell ref="N507:P507"/>
    <mergeCell ref="N542:P542"/>
    <mergeCell ref="N574:P574"/>
    <mergeCell ref="N609:P609"/>
    <mergeCell ref="N644:P644"/>
    <mergeCell ref="N679:P679"/>
    <mergeCell ref="K485:R485"/>
    <mergeCell ref="K486:R486"/>
    <mergeCell ref="K557:R557"/>
    <mergeCell ref="K586:R587"/>
    <mergeCell ref="Q399:S399"/>
    <mergeCell ref="Q437:S437"/>
    <mergeCell ref="Q472:S472"/>
    <mergeCell ref="Q507:S507"/>
    <mergeCell ref="K621:R621"/>
    <mergeCell ref="K521:R521"/>
    <mergeCell ref="K679:M679"/>
    <mergeCell ref="W542:Y542"/>
    <mergeCell ref="K555:R555"/>
    <mergeCell ref="K556:R556"/>
    <mergeCell ref="Q679:S679"/>
    <mergeCell ref="W996:Y996"/>
    <mergeCell ref="K1148:R1149"/>
    <mergeCell ref="K1150:R1151"/>
    <mergeCell ref="K1181:R1182"/>
    <mergeCell ref="K1183:R1184"/>
    <mergeCell ref="Q1137:S1137"/>
    <mergeCell ref="Q1172:S1172"/>
    <mergeCell ref="N1137:P1137"/>
    <mergeCell ref="N1172:P1172"/>
    <mergeCell ref="K866:R867"/>
    <mergeCell ref="N856:P856"/>
    <mergeCell ref="N891:P891"/>
    <mergeCell ref="N926:P926"/>
    <mergeCell ref="N961:P961"/>
    <mergeCell ref="N996:P996"/>
    <mergeCell ref="K973:R973"/>
    <mergeCell ref="T891:V891"/>
    <mergeCell ref="T926:V926"/>
    <mergeCell ref="T961:V961"/>
    <mergeCell ref="T996:V996"/>
    <mergeCell ref="T856:V856"/>
    <mergeCell ref="Q856:S856"/>
    <mergeCell ref="Q891:S891"/>
    <mergeCell ref="K856:M856"/>
    <mergeCell ref="K891:M891"/>
    <mergeCell ref="K926:M926"/>
    <mergeCell ref="K961:M961"/>
    <mergeCell ref="T1802:V1802"/>
    <mergeCell ref="T1837:V1837"/>
    <mergeCell ref="T1242:V1242"/>
    <mergeCell ref="T1277:V1277"/>
    <mergeCell ref="K1324:R1325"/>
    <mergeCell ref="K1323:R1323"/>
    <mergeCell ref="K1321:R1322"/>
    <mergeCell ref="N1242:P1242"/>
    <mergeCell ref="N1277:P1277"/>
    <mergeCell ref="N1312:P1312"/>
    <mergeCell ref="Q1312:S1312"/>
    <mergeCell ref="T1101:V1101"/>
    <mergeCell ref="T1066:V1066"/>
    <mergeCell ref="T1031:V1031"/>
    <mergeCell ref="K1220:R1220"/>
    <mergeCell ref="K1216:R1217"/>
    <mergeCell ref="Q1031:S1031"/>
    <mergeCell ref="T1348:V1348"/>
    <mergeCell ref="T1382:V1382"/>
    <mergeCell ref="K1635:R1635"/>
    <mergeCell ref="K1849:R1850"/>
    <mergeCell ref="K1916:R1917"/>
    <mergeCell ref="K1918:R1919"/>
    <mergeCell ref="K1661:M1661"/>
    <mergeCell ref="K1696:M1696"/>
    <mergeCell ref="Q1802:S1802"/>
    <mergeCell ref="Q1837:S1837"/>
    <mergeCell ref="Q1872:S1872"/>
    <mergeCell ref="Q1907:S1907"/>
    <mergeCell ref="K1669:R1670"/>
    <mergeCell ref="K1671:R1672"/>
    <mergeCell ref="K1675:R1676"/>
    <mergeCell ref="K1532:R1533"/>
    <mergeCell ref="K1564:R1564"/>
    <mergeCell ref="K1382:M1382"/>
    <mergeCell ref="K1415:M1415"/>
    <mergeCell ref="K1450:M1450"/>
    <mergeCell ref="K1485:M1485"/>
    <mergeCell ref="K1520:M1520"/>
    <mergeCell ref="K1555:M1555"/>
    <mergeCell ref="K1591:M1591"/>
    <mergeCell ref="Z1450:AB1450"/>
    <mergeCell ref="Q1415:S1415"/>
    <mergeCell ref="Q1450:S1450"/>
    <mergeCell ref="Z1485:AB1485"/>
    <mergeCell ref="Z1520:AB1520"/>
    <mergeCell ref="W1555:Y1555"/>
    <mergeCell ref="W1485:Y1485"/>
    <mergeCell ref="K1528:R1528"/>
    <mergeCell ref="W1520:Y1520"/>
    <mergeCell ref="K1426:R1427"/>
    <mergeCell ref="K1428:R1429"/>
    <mergeCell ref="K1424:R1424"/>
    <mergeCell ref="W1415:Y1415"/>
    <mergeCell ref="T1485:V1485"/>
    <mergeCell ref="T1520:V1520"/>
    <mergeCell ref="T1415:V1415"/>
    <mergeCell ref="T1450:V1450"/>
    <mergeCell ref="K1495:R1496"/>
    <mergeCell ref="K1497:R1498"/>
    <mergeCell ref="K1530:R1531"/>
    <mergeCell ref="T1555:V1555"/>
    <mergeCell ref="AC897:AJ897"/>
    <mergeCell ref="K909:R910"/>
    <mergeCell ref="K911:R912"/>
    <mergeCell ref="K936:R937"/>
    <mergeCell ref="W961:Y961"/>
    <mergeCell ref="Z961:AB961"/>
    <mergeCell ref="Z926:AB926"/>
    <mergeCell ref="W926:Y926"/>
    <mergeCell ref="Z1242:AB1242"/>
    <mergeCell ref="K1118:R1119"/>
    <mergeCell ref="K1120:R1121"/>
    <mergeCell ref="T1207:V1207"/>
    <mergeCell ref="T1172:V1172"/>
    <mergeCell ref="Q926:S926"/>
    <mergeCell ref="Q961:S961"/>
    <mergeCell ref="Q996:S996"/>
    <mergeCell ref="K972:R972"/>
    <mergeCell ref="K938:R939"/>
    <mergeCell ref="K940:R941"/>
    <mergeCell ref="K970:R971"/>
    <mergeCell ref="Z1137:AB1137"/>
    <mergeCell ref="Z1172:AB1172"/>
    <mergeCell ref="Z1207:AB1207"/>
    <mergeCell ref="K1146:R1147"/>
    <mergeCell ref="Z1277:AB1277"/>
    <mergeCell ref="Z1312:AB1312"/>
    <mergeCell ref="K1252:R1253"/>
    <mergeCell ref="K1256:R1257"/>
    <mergeCell ref="K1254:R1255"/>
    <mergeCell ref="K1258:R1259"/>
    <mergeCell ref="K1288:R1289"/>
    <mergeCell ref="Z1555:AB1555"/>
    <mergeCell ref="K1291:R1292"/>
    <mergeCell ref="K1290:R1290"/>
    <mergeCell ref="K1460:R1460"/>
    <mergeCell ref="K1461:R1461"/>
    <mergeCell ref="K1493:R1493"/>
    <mergeCell ref="Z1348:AB1348"/>
    <mergeCell ref="K1326:R1326"/>
    <mergeCell ref="Z1382:AB1382"/>
    <mergeCell ref="Z1415:AB1415"/>
    <mergeCell ref="K1327:R1328"/>
    <mergeCell ref="K1357:R1358"/>
    <mergeCell ref="K1359:R1360"/>
    <mergeCell ref="K1363:R1364"/>
    <mergeCell ref="K1361:R1362"/>
    <mergeCell ref="K1365:R1366"/>
    <mergeCell ref="K1399:R1400"/>
    <mergeCell ref="AC892:AJ892"/>
    <mergeCell ref="AC894:AJ894"/>
    <mergeCell ref="AC895:AJ895"/>
    <mergeCell ref="AC896:AJ896"/>
    <mergeCell ref="K902:R902"/>
    <mergeCell ref="K904:R905"/>
    <mergeCell ref="K906:R907"/>
    <mergeCell ref="W1277:Y1277"/>
    <mergeCell ref="Z996:AB996"/>
    <mergeCell ref="K1077:R1077"/>
    <mergeCell ref="K1078:R1078"/>
    <mergeCell ref="W1066:Y1066"/>
    <mergeCell ref="W1101:Y1101"/>
    <mergeCell ref="Z1101:AB1101"/>
    <mergeCell ref="Q1242:S1242"/>
    <mergeCell ref="Q1277:S1277"/>
    <mergeCell ref="K1114:R1115"/>
    <mergeCell ref="K1006:R1007"/>
    <mergeCell ref="K1010:R1011"/>
    <mergeCell ref="K1008:R1009"/>
    <mergeCell ref="Q1066:S1066"/>
    <mergeCell ref="Q1101:S1101"/>
    <mergeCell ref="N1101:P1101"/>
    <mergeCell ref="K1116:R1117"/>
    <mergeCell ref="AC328:AJ328"/>
    <mergeCell ref="AC330:AJ330"/>
    <mergeCell ref="AC331:AJ331"/>
    <mergeCell ref="Z644:AB644"/>
    <mergeCell ref="Z679:AB679"/>
    <mergeCell ref="K655:R656"/>
    <mergeCell ref="K657:R658"/>
    <mergeCell ref="K659:R660"/>
    <mergeCell ref="Z891:AB891"/>
    <mergeCell ref="K834:R834"/>
    <mergeCell ref="W856:Y856"/>
    <mergeCell ref="W891:Y891"/>
    <mergeCell ref="K868:R869"/>
    <mergeCell ref="K870:R871"/>
    <mergeCell ref="K729:R729"/>
    <mergeCell ref="W751:Y751"/>
    <mergeCell ref="K762:R762"/>
    <mergeCell ref="W786:Y786"/>
    <mergeCell ref="K796:R796"/>
    <mergeCell ref="W821:Y821"/>
    <mergeCell ref="W679:Y679"/>
    <mergeCell ref="K691:R691"/>
    <mergeCell ref="K693:R693"/>
    <mergeCell ref="K694:R694"/>
    <mergeCell ref="Z327:AB327"/>
    <mergeCell ref="W363:Y363"/>
    <mergeCell ref="Z363:AB363"/>
    <mergeCell ref="T363:V363"/>
    <mergeCell ref="T327:V327"/>
    <mergeCell ref="A608:G608"/>
    <mergeCell ref="B609:C609"/>
    <mergeCell ref="D609:E609"/>
    <mergeCell ref="F609:G609"/>
    <mergeCell ref="W399:Y399"/>
    <mergeCell ref="K410:R410"/>
    <mergeCell ref="W437:Y437"/>
    <mergeCell ref="Z542:AB542"/>
    <mergeCell ref="Z574:AB574"/>
    <mergeCell ref="Z609:AB609"/>
    <mergeCell ref="Z399:AB399"/>
    <mergeCell ref="Q542:S542"/>
    <mergeCell ref="Q574:S574"/>
    <mergeCell ref="Q609:S609"/>
    <mergeCell ref="Z437:AB437"/>
    <mergeCell ref="Z472:AB472"/>
    <mergeCell ref="Z507:AB507"/>
    <mergeCell ref="T609:V609"/>
    <mergeCell ref="T574:V574"/>
    <mergeCell ref="A643:G643"/>
    <mergeCell ref="W73:Y73"/>
    <mergeCell ref="W109:Y109"/>
    <mergeCell ref="K84:R84"/>
    <mergeCell ref="W146:Y146"/>
    <mergeCell ref="B437:C437"/>
    <mergeCell ref="A573:G573"/>
    <mergeCell ref="A506:G506"/>
    <mergeCell ref="B507:C507"/>
    <mergeCell ref="D507:E507"/>
    <mergeCell ref="F507:G507"/>
    <mergeCell ref="A541:G541"/>
    <mergeCell ref="B542:C542"/>
    <mergeCell ref="D542:E542"/>
    <mergeCell ref="F542:G542"/>
    <mergeCell ref="B146:C146"/>
    <mergeCell ref="D146:E146"/>
    <mergeCell ref="F146:G146"/>
    <mergeCell ref="B73:C73"/>
    <mergeCell ref="W472:Y472"/>
    <mergeCell ref="W327:Y327"/>
    <mergeCell ref="T542:V542"/>
    <mergeCell ref="T507:V507"/>
    <mergeCell ref="T472:V472"/>
    <mergeCell ref="AC182:AJ182"/>
    <mergeCell ref="AC185:AJ185"/>
    <mergeCell ref="AC186:AJ186"/>
    <mergeCell ref="W182:Y182"/>
    <mergeCell ref="AC183:AJ183"/>
    <mergeCell ref="K85:R85"/>
    <mergeCell ref="K87:R87"/>
    <mergeCell ref="K86:R86"/>
    <mergeCell ref="K88:R88"/>
    <mergeCell ref="K119:R119"/>
    <mergeCell ref="K120:R120"/>
    <mergeCell ref="K121:R121"/>
    <mergeCell ref="K122:R122"/>
    <mergeCell ref="K123:R123"/>
    <mergeCell ref="K155:R155"/>
    <mergeCell ref="T182:V182"/>
    <mergeCell ref="T146:V146"/>
    <mergeCell ref="T109:V109"/>
    <mergeCell ref="K157:R158"/>
    <mergeCell ref="K159:R160"/>
    <mergeCell ref="A72:G72"/>
    <mergeCell ref="A108:G108"/>
    <mergeCell ref="A398:G398"/>
    <mergeCell ref="A253:G253"/>
    <mergeCell ref="B218:C218"/>
    <mergeCell ref="D218:E218"/>
    <mergeCell ref="F218:G218"/>
    <mergeCell ref="D254:E254"/>
    <mergeCell ref="A290:G290"/>
    <mergeCell ref="B291:C291"/>
    <mergeCell ref="D291:E291"/>
    <mergeCell ref="F291:G291"/>
    <mergeCell ref="D73:E73"/>
    <mergeCell ref="F73:G73"/>
    <mergeCell ref="A17:M18"/>
    <mergeCell ref="B39:M39"/>
    <mergeCell ref="B55:M55"/>
    <mergeCell ref="D327:E327"/>
    <mergeCell ref="F327:G327"/>
    <mergeCell ref="A362:G362"/>
    <mergeCell ref="B363:C363"/>
    <mergeCell ref="D363:E363"/>
    <mergeCell ref="F363:G363"/>
    <mergeCell ref="B109:C109"/>
    <mergeCell ref="D109:E109"/>
    <mergeCell ref="F109:G109"/>
    <mergeCell ref="A145:G145"/>
    <mergeCell ref="A181:G181"/>
    <mergeCell ref="B182:C182"/>
    <mergeCell ref="D182:E182"/>
    <mergeCell ref="F182:G182"/>
    <mergeCell ref="A326:G326"/>
    <mergeCell ref="B327:C327"/>
    <mergeCell ref="F254:G254"/>
    <mergeCell ref="A217:G217"/>
    <mergeCell ref="A21:M22"/>
    <mergeCell ref="B23:M23"/>
    <mergeCell ref="B254:C254"/>
    <mergeCell ref="B679:C679"/>
    <mergeCell ref="D679:E679"/>
    <mergeCell ref="F679:G679"/>
    <mergeCell ref="A715:G715"/>
    <mergeCell ref="B716:C716"/>
    <mergeCell ref="D716:E716"/>
    <mergeCell ref="F716:G716"/>
    <mergeCell ref="B399:C399"/>
    <mergeCell ref="D399:E399"/>
    <mergeCell ref="F399:G399"/>
    <mergeCell ref="D437:E437"/>
    <mergeCell ref="F437:G437"/>
    <mergeCell ref="A471:G471"/>
    <mergeCell ref="B472:C472"/>
    <mergeCell ref="D472:E472"/>
    <mergeCell ref="F472:G472"/>
    <mergeCell ref="A436:G436"/>
    <mergeCell ref="B644:C644"/>
    <mergeCell ref="D644:E644"/>
    <mergeCell ref="F644:G644"/>
    <mergeCell ref="A678:G678"/>
    <mergeCell ref="B574:C574"/>
    <mergeCell ref="D574:E574"/>
    <mergeCell ref="F574:G574"/>
    <mergeCell ref="A750:G750"/>
    <mergeCell ref="B751:C751"/>
    <mergeCell ref="D751:E751"/>
    <mergeCell ref="F751:G751"/>
    <mergeCell ref="A785:G785"/>
    <mergeCell ref="B786:C786"/>
    <mergeCell ref="D786:E786"/>
    <mergeCell ref="F786:G786"/>
    <mergeCell ref="A820:G820"/>
    <mergeCell ref="B821:C821"/>
    <mergeCell ref="D821:E821"/>
    <mergeCell ref="F821:G821"/>
    <mergeCell ref="A855:G855"/>
    <mergeCell ref="B856:C856"/>
    <mergeCell ref="D856:E856"/>
    <mergeCell ref="F856:G856"/>
    <mergeCell ref="A890:G890"/>
    <mergeCell ref="B891:C891"/>
    <mergeCell ref="D891:E891"/>
    <mergeCell ref="F891:G891"/>
    <mergeCell ref="A925:G925"/>
    <mergeCell ref="B926:C926"/>
    <mergeCell ref="D926:E926"/>
    <mergeCell ref="F926:G926"/>
    <mergeCell ref="A960:G960"/>
    <mergeCell ref="B961:C961"/>
    <mergeCell ref="D961:E961"/>
    <mergeCell ref="F961:G961"/>
    <mergeCell ref="A995:G995"/>
    <mergeCell ref="B996:C996"/>
    <mergeCell ref="D996:E996"/>
    <mergeCell ref="F996:G996"/>
    <mergeCell ref="A1030:G1030"/>
    <mergeCell ref="B1031:C1031"/>
    <mergeCell ref="D1031:E1031"/>
    <mergeCell ref="F1031:G1031"/>
    <mergeCell ref="A1065:G1065"/>
    <mergeCell ref="B1066:C1066"/>
    <mergeCell ref="D1066:E1066"/>
    <mergeCell ref="F1066:G1066"/>
    <mergeCell ref="A1100:G1100"/>
    <mergeCell ref="B1101:C1101"/>
    <mergeCell ref="D1101:E1101"/>
    <mergeCell ref="F1101:G1101"/>
    <mergeCell ref="A1136:G1136"/>
    <mergeCell ref="B1137:C1137"/>
    <mergeCell ref="D1137:E1137"/>
    <mergeCell ref="F1137:G1137"/>
    <mergeCell ref="A1171:G1171"/>
    <mergeCell ref="B1172:C1172"/>
    <mergeCell ref="D1172:E1172"/>
    <mergeCell ref="F1172:G1172"/>
    <mergeCell ref="A1206:G1206"/>
    <mergeCell ref="B1207:C1207"/>
    <mergeCell ref="D1207:E1207"/>
    <mergeCell ref="F1207:G1207"/>
    <mergeCell ref="A1241:G1241"/>
    <mergeCell ref="B1242:C1242"/>
    <mergeCell ref="D1242:E1242"/>
    <mergeCell ref="F1242:G1242"/>
    <mergeCell ref="A1311:G1311"/>
    <mergeCell ref="B1312:C1312"/>
    <mergeCell ref="D1312:E1312"/>
    <mergeCell ref="F1312:G1312"/>
    <mergeCell ref="A1276:G1276"/>
    <mergeCell ref="B1277:C1277"/>
    <mergeCell ref="D1277:E1277"/>
    <mergeCell ref="A1347:G1347"/>
    <mergeCell ref="B1348:C1348"/>
    <mergeCell ref="D1348:E1348"/>
    <mergeCell ref="F1348:G1348"/>
    <mergeCell ref="F1277:G1277"/>
    <mergeCell ref="A1381:G1381"/>
    <mergeCell ref="B1382:C1382"/>
    <mergeCell ref="D1382:E1382"/>
    <mergeCell ref="F1382:G1382"/>
    <mergeCell ref="A1414:G1414"/>
    <mergeCell ref="B1415:C1415"/>
    <mergeCell ref="D1415:E1415"/>
    <mergeCell ref="F1415:G1415"/>
    <mergeCell ref="A1449:G1449"/>
    <mergeCell ref="B1450:C1450"/>
    <mergeCell ref="D1450:E1450"/>
    <mergeCell ref="F1450:G1450"/>
    <mergeCell ref="A1484:G1484"/>
    <mergeCell ref="B1485:C1485"/>
    <mergeCell ref="D1485:E1485"/>
    <mergeCell ref="F1485:G1485"/>
    <mergeCell ref="A1519:G1519"/>
    <mergeCell ref="B1520:C1520"/>
    <mergeCell ref="D1520:E1520"/>
    <mergeCell ref="F1520:G1520"/>
    <mergeCell ref="A1554:G1554"/>
    <mergeCell ref="B1555:C1555"/>
    <mergeCell ref="D1555:E1555"/>
    <mergeCell ref="F1555:G1555"/>
    <mergeCell ref="A1590:G1590"/>
    <mergeCell ref="B1591:C1591"/>
    <mergeCell ref="D1591:E1591"/>
    <mergeCell ref="F1591:G1591"/>
    <mergeCell ref="A1625:G1625"/>
    <mergeCell ref="B1626:C1626"/>
    <mergeCell ref="D1626:E1626"/>
    <mergeCell ref="F1626:G1626"/>
    <mergeCell ref="A1660:G1660"/>
    <mergeCell ref="B1661:C1661"/>
    <mergeCell ref="D1661:E1661"/>
    <mergeCell ref="F1661:G1661"/>
    <mergeCell ref="A1695:G1695"/>
    <mergeCell ref="B1696:C1696"/>
    <mergeCell ref="D1696:E1696"/>
    <mergeCell ref="F1696:G1696"/>
    <mergeCell ref="A1730:G1730"/>
    <mergeCell ref="B1731:C1731"/>
    <mergeCell ref="D1731:E1731"/>
    <mergeCell ref="F1731:G1731"/>
    <mergeCell ref="A1766:G1766"/>
    <mergeCell ref="B1767:C1767"/>
    <mergeCell ref="D1767:E1767"/>
    <mergeCell ref="F1767:G1767"/>
    <mergeCell ref="A1801:G1801"/>
    <mergeCell ref="D1802:E1802"/>
    <mergeCell ref="F1802:G1802"/>
    <mergeCell ref="A1836:G1836"/>
    <mergeCell ref="B1837:C1837"/>
    <mergeCell ref="D1837:E1837"/>
    <mergeCell ref="F1837:G1837"/>
    <mergeCell ref="A1871:G1871"/>
    <mergeCell ref="B1872:C1872"/>
    <mergeCell ref="D1872:E1872"/>
    <mergeCell ref="F1872:G1872"/>
    <mergeCell ref="K765:R765"/>
    <mergeCell ref="K786:M786"/>
    <mergeCell ref="K821:M821"/>
    <mergeCell ref="B2048:C2048"/>
    <mergeCell ref="D2048:E2048"/>
    <mergeCell ref="F2048:G2048"/>
    <mergeCell ref="A1977:G1977"/>
    <mergeCell ref="B1978:C1978"/>
    <mergeCell ref="D1978:E1978"/>
    <mergeCell ref="F1978:G1978"/>
    <mergeCell ref="A2012:G2012"/>
    <mergeCell ref="B2013:C2013"/>
    <mergeCell ref="D2013:E2013"/>
    <mergeCell ref="F2013:G2013"/>
    <mergeCell ref="A1906:G1906"/>
    <mergeCell ref="B1907:C1907"/>
    <mergeCell ref="D1907:E1907"/>
    <mergeCell ref="F1907:G1907"/>
    <mergeCell ref="A1942:G1942"/>
    <mergeCell ref="B1943:C1943"/>
    <mergeCell ref="D1943:E1943"/>
    <mergeCell ref="F1943:G1943"/>
    <mergeCell ref="A2047:G2047"/>
    <mergeCell ref="B1802:C1802"/>
    <mergeCell ref="W1382:Y1382"/>
    <mergeCell ref="Q1348:S1348"/>
    <mergeCell ref="Q1382:S1382"/>
    <mergeCell ref="K1391:R1391"/>
    <mergeCell ref="K1397:R1398"/>
    <mergeCell ref="K1395:R1396"/>
    <mergeCell ref="K2060:R2061"/>
    <mergeCell ref="W1872:Y1872"/>
    <mergeCell ref="W1907:Y1907"/>
    <mergeCell ref="K1951:R1951"/>
    <mergeCell ref="K1953:R1953"/>
    <mergeCell ref="W1943:Y1943"/>
    <mergeCell ref="W1978:Y1978"/>
    <mergeCell ref="K2024:R2024"/>
    <mergeCell ref="W2048:Y2048"/>
    <mergeCell ref="T2048:V2048"/>
    <mergeCell ref="T1943:V1943"/>
    <mergeCell ref="T1907:V1907"/>
    <mergeCell ref="T1872:V1872"/>
    <mergeCell ref="T1591:V1591"/>
    <mergeCell ref="T1626:V1626"/>
    <mergeCell ref="T1661:V1661"/>
    <mergeCell ref="T1696:V1696"/>
    <mergeCell ref="T1731:V1731"/>
    <mergeCell ref="Z1872:AB1872"/>
    <mergeCell ref="Z1907:AB1907"/>
    <mergeCell ref="Z1943:AB1943"/>
    <mergeCell ref="Z1978:AB1978"/>
    <mergeCell ref="K1880:R1881"/>
    <mergeCell ref="K1882:R1883"/>
    <mergeCell ref="K1884:R1885"/>
    <mergeCell ref="K2021:R2021"/>
    <mergeCell ref="K2023:R2023"/>
    <mergeCell ref="W2013:Y2013"/>
    <mergeCell ref="Z2013:AB2013"/>
    <mergeCell ref="Q1978:S1978"/>
    <mergeCell ref="T1978:V1978"/>
    <mergeCell ref="Z2048:AB2048"/>
    <mergeCell ref="K2056:R2057"/>
    <mergeCell ref="K2058:R2059"/>
    <mergeCell ref="T2013:V2013"/>
    <mergeCell ref="N21:S21"/>
    <mergeCell ref="Z73:AB73"/>
    <mergeCell ref="Z109:AB109"/>
    <mergeCell ref="Z146:AB146"/>
    <mergeCell ref="Z182:AB182"/>
    <mergeCell ref="Z218:AB218"/>
    <mergeCell ref="Z254:AB254"/>
    <mergeCell ref="Z291:AB291"/>
    <mergeCell ref="K228:R228"/>
    <mergeCell ref="T22:T23"/>
    <mergeCell ref="U22:U23"/>
    <mergeCell ref="V22:V23"/>
    <mergeCell ref="T73:V73"/>
    <mergeCell ref="T254:V254"/>
    <mergeCell ref="T218:V218"/>
    <mergeCell ref="K192:R192"/>
    <mergeCell ref="K194:R194"/>
    <mergeCell ref="K195:R195"/>
    <mergeCell ref="K264:R265"/>
    <mergeCell ref="K230:R231"/>
    <mergeCell ref="W218:Y218"/>
    <mergeCell ref="W254:Y254"/>
    <mergeCell ref="P22:P23"/>
    <mergeCell ref="X22:X23"/>
    <mergeCell ref="R22:R23"/>
    <mergeCell ref="Z716:AB716"/>
    <mergeCell ref="Z751:AB751"/>
    <mergeCell ref="Z786:AB786"/>
    <mergeCell ref="Z821:AB821"/>
    <mergeCell ref="S22:S23"/>
    <mergeCell ref="K695:R695"/>
    <mergeCell ref="W716:Y716"/>
    <mergeCell ref="T679:V679"/>
    <mergeCell ref="K696:R696"/>
    <mergeCell ref="K726:R726"/>
    <mergeCell ref="T716:V716"/>
    <mergeCell ref="T751:V751"/>
    <mergeCell ref="T786:V786"/>
    <mergeCell ref="T821:V821"/>
    <mergeCell ref="K728:R728"/>
    <mergeCell ref="N716:P716"/>
    <mergeCell ref="N751:P751"/>
    <mergeCell ref="N786:P786"/>
    <mergeCell ref="N821:P821"/>
    <mergeCell ref="Z856:AB856"/>
    <mergeCell ref="K336:R337"/>
    <mergeCell ref="K338:R339"/>
    <mergeCell ref="K340:R341"/>
    <mergeCell ref="K374:R375"/>
    <mergeCell ref="K376:R377"/>
    <mergeCell ref="K378:R379"/>
    <mergeCell ref="K448:R449"/>
    <mergeCell ref="K483:R484"/>
    <mergeCell ref="K518:R519"/>
    <mergeCell ref="K798:R799"/>
    <mergeCell ref="K800:R801"/>
    <mergeCell ref="K553:R554"/>
    <mergeCell ref="K584:R585"/>
    <mergeCell ref="K588:R589"/>
    <mergeCell ref="K623:R624"/>
    <mergeCell ref="W644:Y644"/>
    <mergeCell ref="K833:R833"/>
    <mergeCell ref="Q716:S716"/>
    <mergeCell ref="Q751:S751"/>
    <mergeCell ref="Q786:S786"/>
    <mergeCell ref="Q821:S821"/>
    <mergeCell ref="K831:R832"/>
    <mergeCell ref="K764:R764"/>
    <mergeCell ref="Z1802:AB1802"/>
    <mergeCell ref="Z1837:AB1837"/>
    <mergeCell ref="W1802:Y1802"/>
    <mergeCell ref="W1837:Y1837"/>
    <mergeCell ref="W1731:Y1731"/>
    <mergeCell ref="K1743:R1743"/>
    <mergeCell ref="W1767:Y1767"/>
    <mergeCell ref="K1779:R1780"/>
    <mergeCell ref="W22:W23"/>
    <mergeCell ref="Q22:Q23"/>
    <mergeCell ref="Z1031:AB1031"/>
    <mergeCell ref="Z1066:AB1066"/>
    <mergeCell ref="K1045:R1046"/>
    <mergeCell ref="K1043:R1044"/>
    <mergeCell ref="K1041:R1042"/>
    <mergeCell ref="K1075:R1076"/>
    <mergeCell ref="W1031:Y1031"/>
    <mergeCell ref="W1348:Y1348"/>
    <mergeCell ref="K1458:R1458"/>
    <mergeCell ref="W1450:Y1450"/>
    <mergeCell ref="K1241:R1241"/>
    <mergeCell ref="W1242:Y1242"/>
    <mergeCell ref="K1276:R1276"/>
    <mergeCell ref="K1287:R1287"/>
    <mergeCell ref="Z1696:AB1696"/>
    <mergeCell ref="K1775:R1776"/>
    <mergeCell ref="K1777:R1778"/>
    <mergeCell ref="Z1731:AB1731"/>
    <mergeCell ref="K1706:R1707"/>
    <mergeCell ref="K1710:R1711"/>
    <mergeCell ref="K1708:R1709"/>
    <mergeCell ref="K1712:R1713"/>
    <mergeCell ref="Z1767:AB1767"/>
    <mergeCell ref="K1745:R1745"/>
    <mergeCell ref="W1696:Y1696"/>
    <mergeCell ref="K1740:R1740"/>
    <mergeCell ref="K1742:R1742"/>
    <mergeCell ref="K1744:R1744"/>
    <mergeCell ref="T1767:V1767"/>
    <mergeCell ref="Z1626:AB1626"/>
    <mergeCell ref="Z1661:AB1661"/>
    <mergeCell ref="W1591:Y1591"/>
    <mergeCell ref="K1599:R1599"/>
    <mergeCell ref="K1602:R1602"/>
    <mergeCell ref="K1600:R1600"/>
    <mergeCell ref="K1601:R1601"/>
    <mergeCell ref="K1603:R1603"/>
    <mergeCell ref="Z1591:AB1591"/>
    <mergeCell ref="K1636:R1636"/>
    <mergeCell ref="K1638:R1638"/>
    <mergeCell ref="K1637:R1637"/>
    <mergeCell ref="W1626:Y1626"/>
    <mergeCell ref="W1661:Y1661"/>
    <mergeCell ref="K1634:R1634"/>
    <mergeCell ref="K1626:M1626"/>
    <mergeCell ref="H1626:J1626"/>
    <mergeCell ref="H1661:J1661"/>
    <mergeCell ref="H1696:J1696"/>
    <mergeCell ref="H1731:J1731"/>
    <mergeCell ref="H1767:J1767"/>
    <mergeCell ref="H1802:J1802"/>
    <mergeCell ref="H1837:J1837"/>
    <mergeCell ref="H1872:J1872"/>
    <mergeCell ref="H1907:J1907"/>
  </mergeCells>
  <pageMargins left="0.15" right="0.15" top="0.15" bottom="0.15" header="0.15" footer="0.15"/>
  <pageSetup scale="48" fitToHeight="0" orientation="portrait" r:id="rId1"/>
  <headerFooter>
    <oddFooter>&amp;C&amp;8&amp;Z&amp;F
&amp;D</oddFooter>
  </headerFooter>
  <rowBreaks count="29" manualBreakCount="29">
    <brk id="71" max="18" man="1"/>
    <brk id="144" max="18" man="1"/>
    <brk id="216" max="18" man="1"/>
    <brk id="289" max="18" man="1"/>
    <brk id="361" max="18" man="1"/>
    <brk id="435" max="18" man="1"/>
    <brk id="505" max="18" man="1"/>
    <brk id="572" max="18" man="1"/>
    <brk id="642" max="18" man="1"/>
    <brk id="714" max="18" man="1"/>
    <brk id="784" max="18" man="1"/>
    <brk id="854" max="18" man="1"/>
    <brk id="923" max="18" man="1"/>
    <brk id="994" max="18" man="1"/>
    <brk id="1064" max="18" man="1"/>
    <brk id="1135" max="18" man="1"/>
    <brk id="1205" max="18" man="1"/>
    <brk id="1275" max="18" man="1"/>
    <brk id="1346" max="18" man="1"/>
    <brk id="1413" max="18" man="1"/>
    <brk id="1483" max="18" man="1"/>
    <brk id="1553" max="18" man="1"/>
    <brk id="1624" max="18" man="1"/>
    <brk id="1694" max="18" man="1"/>
    <brk id="1765" max="18" man="1"/>
    <brk id="1835" max="18" man="1"/>
    <brk id="1905" max="18" man="1"/>
    <brk id="1976" max="18" man="1"/>
    <brk id="2046" max="18" man="1"/>
  </rowBreaks>
  <ignoredErrors>
    <ignoredError sqref="F611:F6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Summary</vt:lpstr>
      <vt:lpstr>Summary!Print_Area</vt:lpstr>
      <vt:lpstr>Summary!Print_Titles</vt:lpstr>
    </vt:vector>
  </TitlesOfParts>
  <Company>IVRS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Steffensmeier, Rose [DVRS]</cp:lastModifiedBy>
  <cp:lastPrinted>2022-04-06T19:01:37Z</cp:lastPrinted>
  <dcterms:created xsi:type="dcterms:W3CDTF">2011-10-10T14:15:16Z</dcterms:created>
  <dcterms:modified xsi:type="dcterms:W3CDTF">2023-02-16T17:24:29Z</dcterms:modified>
</cp:coreProperties>
</file>